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migosdoguri-my.sharepoint.com/personal/jose_goncalves_sustenidos_org_br/Documents/Índice de Transparência 2024/04c Relatórios de receitas e despesas/2024/"/>
    </mc:Choice>
  </mc:AlternateContent>
  <xr:revisionPtr revIDLastSave="3" documentId="11_2B78F63677957BB5962D5D411A28A02EA21F5D11" xr6:coauthVersionLast="47" xr6:coauthVersionMax="47" xr10:uidLastSave="{C324EF63-717C-4A2F-BD14-78C66861BB9B}"/>
  <bookViews>
    <workbookView xWindow="28680" yWindow="-120" windowWidth="21840" windowHeight="13020" tabRatio="500" firstSheet="4" activeTab="4" xr2:uid="{00000000-000D-0000-FFFF-FFFF00000000}"/>
  </bookViews>
  <sheets>
    <sheet name="Quadrimestral Guri" sheetId="1" state="hidden" r:id="rId1"/>
    <sheet name="Fluxo Caixa - Guri" sheetId="2" state="hidden" r:id="rId2"/>
    <sheet name="Quadrimestral Consolidado" sheetId="3" state="hidden" r:id="rId3"/>
    <sheet name="Fluxo Caixa - Consolidado" sheetId="4" state="hidden" r:id="rId4"/>
    <sheet name="Quadrimestral TATUÍ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7" i="4" l="1"/>
  <c r="L47" i="4"/>
  <c r="K47" i="4"/>
  <c r="J47" i="4"/>
  <c r="I47" i="4"/>
  <c r="H47" i="4"/>
  <c r="G47" i="4"/>
  <c r="F47" i="4"/>
  <c r="E47" i="4"/>
  <c r="D47" i="4"/>
  <c r="C47" i="4"/>
  <c r="B47" i="4"/>
  <c r="M44" i="4"/>
  <c r="L44" i="4"/>
  <c r="K44" i="4"/>
  <c r="J44" i="4"/>
  <c r="I44" i="4"/>
  <c r="H44" i="4"/>
  <c r="G44" i="4"/>
  <c r="F44" i="4"/>
  <c r="E44" i="4"/>
  <c r="D44" i="4"/>
  <c r="C44" i="4"/>
  <c r="B44" i="4"/>
  <c r="M43" i="4"/>
  <c r="L43" i="4"/>
  <c r="K43" i="4"/>
  <c r="J43" i="4"/>
  <c r="I43" i="4"/>
  <c r="H43" i="4"/>
  <c r="G43" i="4"/>
  <c r="F43" i="4"/>
  <c r="E43" i="4"/>
  <c r="D43" i="4"/>
  <c r="C43" i="4"/>
  <c r="B43" i="4"/>
  <c r="M42" i="4"/>
  <c r="L42" i="4"/>
  <c r="K42" i="4"/>
  <c r="J42" i="4"/>
  <c r="I42" i="4"/>
  <c r="H42" i="4"/>
  <c r="G42" i="4"/>
  <c r="F42" i="4"/>
  <c r="E42" i="4"/>
  <c r="D42" i="4"/>
  <c r="C42" i="4"/>
  <c r="B42" i="4"/>
  <c r="M41" i="4"/>
  <c r="L41" i="4"/>
  <c r="K41" i="4"/>
  <c r="J41" i="4"/>
  <c r="I41" i="4"/>
  <c r="H41" i="4"/>
  <c r="G41" i="4"/>
  <c r="F41" i="4"/>
  <c r="E41" i="4"/>
  <c r="D41" i="4"/>
  <c r="C41" i="4"/>
  <c r="B41" i="4"/>
  <c r="M40" i="4"/>
  <c r="L40" i="4"/>
  <c r="K40" i="4"/>
  <c r="J40" i="4"/>
  <c r="I40" i="4"/>
  <c r="H40" i="4"/>
  <c r="G40" i="4"/>
  <c r="F40" i="4"/>
  <c r="E40" i="4"/>
  <c r="D40" i="4"/>
  <c r="C40" i="4"/>
  <c r="B40" i="4"/>
  <c r="M39" i="4"/>
  <c r="L39" i="4"/>
  <c r="K39" i="4"/>
  <c r="J39" i="4"/>
  <c r="I39" i="4"/>
  <c r="H39" i="4"/>
  <c r="G39" i="4"/>
  <c r="F39" i="4"/>
  <c r="E39" i="4"/>
  <c r="D39" i="4"/>
  <c r="C39" i="4"/>
  <c r="B39" i="4"/>
  <c r="M38" i="4"/>
  <c r="L38" i="4"/>
  <c r="K38" i="4"/>
  <c r="J38" i="4"/>
  <c r="I38" i="4"/>
  <c r="H38" i="4"/>
  <c r="G38" i="4"/>
  <c r="F38" i="4"/>
  <c r="E38" i="4"/>
  <c r="D38" i="4"/>
  <c r="C38" i="4"/>
  <c r="B38" i="4"/>
  <c r="M37" i="4"/>
  <c r="L37" i="4"/>
  <c r="K37" i="4"/>
  <c r="J37" i="4"/>
  <c r="I37" i="4"/>
  <c r="H37" i="4"/>
  <c r="G37" i="4"/>
  <c r="F37" i="4"/>
  <c r="E37" i="4"/>
  <c r="D37" i="4"/>
  <c r="C37" i="4"/>
  <c r="B37" i="4"/>
  <c r="M36" i="4"/>
  <c r="L36" i="4"/>
  <c r="K36" i="4"/>
  <c r="J36" i="4"/>
  <c r="I36" i="4"/>
  <c r="H36" i="4"/>
  <c r="G36" i="4"/>
  <c r="F36" i="4"/>
  <c r="E36" i="4"/>
  <c r="D36" i="4"/>
  <c r="C36" i="4"/>
  <c r="B36" i="4"/>
  <c r="M35" i="4"/>
  <c r="L35" i="4"/>
  <c r="K35" i="4"/>
  <c r="J35" i="4"/>
  <c r="I35" i="4"/>
  <c r="H35" i="4"/>
  <c r="G35" i="4"/>
  <c r="F35" i="4"/>
  <c r="E35" i="4"/>
  <c r="D35" i="4"/>
  <c r="C35" i="4"/>
  <c r="B35" i="4"/>
  <c r="M33" i="4"/>
  <c r="L33" i="4"/>
  <c r="K33" i="4"/>
  <c r="J33" i="4"/>
  <c r="I33" i="4"/>
  <c r="H33" i="4"/>
  <c r="G33" i="4"/>
  <c r="F33" i="4"/>
  <c r="E33" i="4"/>
  <c r="D33" i="4"/>
  <c r="C33" i="4"/>
  <c r="B33" i="4"/>
  <c r="M32" i="4"/>
  <c r="L32" i="4"/>
  <c r="K32" i="4"/>
  <c r="J32" i="4"/>
  <c r="I32" i="4"/>
  <c r="H32" i="4"/>
  <c r="G32" i="4"/>
  <c r="F32" i="4"/>
  <c r="E32" i="4"/>
  <c r="D32" i="4"/>
  <c r="C32" i="4"/>
  <c r="B32" i="4"/>
  <c r="M31" i="4"/>
  <c r="L31" i="4"/>
  <c r="K31" i="4"/>
  <c r="J31" i="4"/>
  <c r="I31" i="4"/>
  <c r="H31" i="4"/>
  <c r="G31" i="4"/>
  <c r="F31" i="4"/>
  <c r="E31" i="4"/>
  <c r="D31" i="4"/>
  <c r="C31" i="4"/>
  <c r="B31" i="4"/>
  <c r="M30" i="4"/>
  <c r="L30" i="4"/>
  <c r="K30" i="4"/>
  <c r="J30" i="4"/>
  <c r="I30" i="4"/>
  <c r="G30" i="4"/>
  <c r="F30" i="4"/>
  <c r="E30" i="4"/>
  <c r="D30" i="4"/>
  <c r="C30" i="4"/>
  <c r="B30" i="4"/>
  <c r="C29" i="4"/>
  <c r="M28" i="4"/>
  <c r="L28" i="4"/>
  <c r="K28" i="4"/>
  <c r="J28" i="4"/>
  <c r="I28" i="4"/>
  <c r="H28" i="4"/>
  <c r="G28" i="4"/>
  <c r="F28" i="4"/>
  <c r="E28" i="4"/>
  <c r="D28" i="4"/>
  <c r="C28" i="4"/>
  <c r="B28" i="4"/>
  <c r="M27" i="4"/>
  <c r="L27" i="4"/>
  <c r="K27" i="4"/>
  <c r="J27" i="4"/>
  <c r="I27" i="4"/>
  <c r="H27" i="4"/>
  <c r="G27" i="4"/>
  <c r="F27" i="4"/>
  <c r="E27" i="4"/>
  <c r="D27" i="4"/>
  <c r="C27" i="4"/>
  <c r="B27" i="4"/>
  <c r="M26" i="4"/>
  <c r="L26" i="4"/>
  <c r="K26" i="4"/>
  <c r="J26" i="4"/>
  <c r="I26" i="4"/>
  <c r="H26" i="4"/>
  <c r="G26" i="4"/>
  <c r="F26" i="4"/>
  <c r="E26" i="4"/>
  <c r="D26" i="4"/>
  <c r="C26" i="4"/>
  <c r="B26" i="4"/>
  <c r="M25" i="4"/>
  <c r="L25" i="4"/>
  <c r="K25" i="4"/>
  <c r="J25" i="4"/>
  <c r="I25" i="4"/>
  <c r="H25" i="4"/>
  <c r="G25" i="4"/>
  <c r="F25" i="4"/>
  <c r="E25" i="4"/>
  <c r="D25" i="4"/>
  <c r="C25" i="4"/>
  <c r="M24" i="4"/>
  <c r="L24" i="4"/>
  <c r="K24" i="4"/>
  <c r="J24" i="4"/>
  <c r="I24" i="4"/>
  <c r="H24" i="4"/>
  <c r="G24" i="4"/>
  <c r="F24" i="4"/>
  <c r="E24" i="4"/>
  <c r="D24" i="4"/>
  <c r="C24" i="4"/>
  <c r="B24" i="4"/>
  <c r="M23" i="4"/>
  <c r="L23" i="4"/>
  <c r="K23" i="4"/>
  <c r="J23" i="4"/>
  <c r="I23" i="4"/>
  <c r="H23" i="4"/>
  <c r="G23" i="4"/>
  <c r="F23" i="4"/>
  <c r="E23" i="4"/>
  <c r="D23" i="4"/>
  <c r="C23" i="4"/>
  <c r="B23" i="4"/>
  <c r="M22" i="4"/>
  <c r="L22" i="4"/>
  <c r="K22" i="4"/>
  <c r="J22" i="4"/>
  <c r="I22" i="4"/>
  <c r="H22" i="4"/>
  <c r="G22" i="4"/>
  <c r="F22" i="4"/>
  <c r="E22" i="4"/>
  <c r="D22" i="4"/>
  <c r="M21" i="4"/>
  <c r="L21" i="4"/>
  <c r="K21" i="4"/>
  <c r="J21" i="4"/>
  <c r="I21" i="4"/>
  <c r="H21" i="4"/>
  <c r="G21" i="4"/>
  <c r="F21" i="4"/>
  <c r="E21" i="4"/>
  <c r="D21" i="4"/>
  <c r="C21" i="4"/>
  <c r="B21" i="4"/>
  <c r="M20" i="4"/>
  <c r="L20" i="4"/>
  <c r="K20" i="4"/>
  <c r="J20" i="4"/>
  <c r="I20" i="4"/>
  <c r="H20" i="4"/>
  <c r="G20" i="4"/>
  <c r="F20" i="4"/>
  <c r="E20" i="4"/>
  <c r="D20" i="4"/>
  <c r="C20" i="4"/>
  <c r="B20" i="4"/>
  <c r="M18" i="4"/>
  <c r="L18" i="4"/>
  <c r="K18" i="4"/>
  <c r="J18" i="4"/>
  <c r="I18" i="4"/>
  <c r="H18" i="4"/>
  <c r="G18" i="4"/>
  <c r="F18" i="4"/>
  <c r="E18" i="4"/>
  <c r="D18" i="4"/>
  <c r="C18" i="4"/>
  <c r="B18" i="4"/>
  <c r="M17" i="4"/>
  <c r="L17" i="4"/>
  <c r="K17" i="4"/>
  <c r="J17" i="4"/>
  <c r="I17" i="4"/>
  <c r="H17" i="4"/>
  <c r="G17" i="4"/>
  <c r="F17" i="4"/>
  <c r="E17" i="4"/>
  <c r="D17" i="4"/>
  <c r="C17" i="4"/>
  <c r="B17" i="4"/>
  <c r="M16" i="4"/>
  <c r="L16" i="4"/>
  <c r="I16" i="4"/>
  <c r="H16" i="4"/>
  <c r="G16" i="4"/>
  <c r="F16" i="4"/>
  <c r="E16" i="4"/>
  <c r="C16" i="4"/>
  <c r="B16" i="4"/>
  <c r="M15" i="4"/>
  <c r="L15" i="4"/>
  <c r="K15" i="4"/>
  <c r="J15" i="4"/>
  <c r="I15" i="4"/>
  <c r="H15" i="4"/>
  <c r="G15" i="4"/>
  <c r="F15" i="4"/>
  <c r="E15" i="4"/>
  <c r="D15" i="4"/>
  <c r="C15" i="4"/>
  <c r="B15" i="4"/>
  <c r="M11" i="4"/>
  <c r="L11" i="4"/>
  <c r="K11" i="4"/>
  <c r="J11" i="4"/>
  <c r="I11" i="4"/>
  <c r="H11" i="4"/>
  <c r="M10" i="4"/>
  <c r="L10" i="4"/>
  <c r="K10" i="4"/>
  <c r="J10" i="4"/>
  <c r="I10" i="4"/>
  <c r="H10" i="4"/>
  <c r="M9" i="4"/>
  <c r="L9" i="4"/>
  <c r="K9" i="4"/>
  <c r="J9" i="4"/>
  <c r="I9" i="4"/>
  <c r="H9" i="4"/>
  <c r="L8" i="4"/>
  <c r="K8" i="4"/>
  <c r="J8" i="4"/>
  <c r="I8" i="4"/>
  <c r="H8" i="4"/>
  <c r="B4" i="4"/>
  <c r="N4" i="4" s="1"/>
  <c r="N49" i="3"/>
  <c r="N46" i="3"/>
  <c r="N44" i="4" s="1"/>
  <c r="N45" i="3"/>
  <c r="N44" i="3"/>
  <c r="N43" i="3"/>
  <c r="N42" i="3"/>
  <c r="N41" i="3"/>
  <c r="N40" i="3"/>
  <c r="N39" i="3"/>
  <c r="N38" i="3"/>
  <c r="N37" i="3"/>
  <c r="M36" i="3"/>
  <c r="M19" i="3" s="1"/>
  <c r="L36" i="3"/>
  <c r="L19" i="3" s="1"/>
  <c r="K36" i="3"/>
  <c r="K19" i="3" s="1"/>
  <c r="K19" i="4" s="1"/>
  <c r="J36" i="3"/>
  <c r="J19" i="3" s="1"/>
  <c r="J19" i="4" s="1"/>
  <c r="I36" i="3"/>
  <c r="I19" i="3" s="1"/>
  <c r="H36" i="3"/>
  <c r="H19" i="3" s="1"/>
  <c r="G36" i="3"/>
  <c r="G19" i="3" s="1"/>
  <c r="G19" i="4" s="1"/>
  <c r="F36" i="3"/>
  <c r="F19" i="3" s="1"/>
  <c r="E36" i="3"/>
  <c r="E19" i="3" s="1"/>
  <c r="D36" i="3"/>
  <c r="D19" i="3" s="1"/>
  <c r="D19" i="4" s="1"/>
  <c r="C36" i="3"/>
  <c r="C19" i="3" s="1"/>
  <c r="C19" i="4" s="1"/>
  <c r="B36" i="3"/>
  <c r="B19" i="3" s="1"/>
  <c r="N33" i="3"/>
  <c r="N32" i="3"/>
  <c r="N31" i="3"/>
  <c r="H30" i="3"/>
  <c r="H30" i="4" s="1"/>
  <c r="M29" i="3"/>
  <c r="M29" i="4" s="1"/>
  <c r="L29" i="3"/>
  <c r="L29" i="4" s="1"/>
  <c r="K29" i="3"/>
  <c r="K29" i="4" s="1"/>
  <c r="J29" i="3"/>
  <c r="J29" i="4" s="1"/>
  <c r="I29" i="3"/>
  <c r="I29" i="4" s="1"/>
  <c r="H29" i="3"/>
  <c r="H29" i="4" s="1"/>
  <c r="G29" i="3"/>
  <c r="G29" i="4" s="1"/>
  <c r="F29" i="3"/>
  <c r="F29" i="4" s="1"/>
  <c r="E29" i="3"/>
  <c r="E29" i="4" s="1"/>
  <c r="D29" i="3"/>
  <c r="D29" i="4" s="1"/>
  <c r="B29" i="3"/>
  <c r="B29" i="4" s="1"/>
  <c r="N28" i="3"/>
  <c r="N27" i="3"/>
  <c r="N26" i="3"/>
  <c r="B25" i="3"/>
  <c r="B25" i="4" s="1"/>
  <c r="N24" i="3"/>
  <c r="N23" i="3"/>
  <c r="C22" i="3"/>
  <c r="C22" i="4" s="1"/>
  <c r="B22" i="3"/>
  <c r="B22" i="4" s="1"/>
  <c r="N21" i="3"/>
  <c r="N20" i="3"/>
  <c r="N18" i="3"/>
  <c r="N17" i="3"/>
  <c r="K16" i="3"/>
  <c r="K16" i="4" s="1"/>
  <c r="J16" i="3"/>
  <c r="J16" i="4" s="1"/>
  <c r="D16" i="3"/>
  <c r="D16" i="4" s="1"/>
  <c r="N15" i="3"/>
  <c r="G11" i="4"/>
  <c r="F11" i="4"/>
  <c r="E11" i="4"/>
  <c r="D11" i="4"/>
  <c r="C11" i="4"/>
  <c r="B11" i="4"/>
  <c r="G10" i="4"/>
  <c r="F10" i="4"/>
  <c r="E10" i="4"/>
  <c r="D10" i="4"/>
  <c r="C10" i="4"/>
  <c r="B10" i="4"/>
  <c r="G9" i="4"/>
  <c r="F9" i="4"/>
  <c r="E9" i="4"/>
  <c r="D9" i="4"/>
  <c r="B9" i="4"/>
  <c r="M8" i="3"/>
  <c r="M8" i="4" s="1"/>
  <c r="M7" i="4" s="1"/>
  <c r="G8" i="4"/>
  <c r="F8" i="4"/>
  <c r="E8" i="4"/>
  <c r="D8" i="4"/>
  <c r="C8" i="4"/>
  <c r="B8" i="4"/>
  <c r="L7" i="3"/>
  <c r="K7" i="3"/>
  <c r="J7" i="3"/>
  <c r="I7" i="3"/>
  <c r="H7" i="3"/>
  <c r="N4" i="3"/>
  <c r="M46" i="2"/>
  <c r="L46" i="2"/>
  <c r="K46" i="2"/>
  <c r="J46" i="2"/>
  <c r="I46" i="2"/>
  <c r="H46" i="2"/>
  <c r="G46" i="2"/>
  <c r="F46" i="2"/>
  <c r="E46" i="2"/>
  <c r="D46" i="2"/>
  <c r="C46" i="2"/>
  <c r="B46" i="2"/>
  <c r="M43" i="2"/>
  <c r="L43" i="2"/>
  <c r="K43" i="2"/>
  <c r="J43" i="2"/>
  <c r="I43" i="2"/>
  <c r="H43" i="2"/>
  <c r="G43" i="2"/>
  <c r="F43" i="2"/>
  <c r="E43" i="2"/>
  <c r="D43" i="2"/>
  <c r="C43" i="2"/>
  <c r="B43" i="2"/>
  <c r="M42" i="2"/>
  <c r="L42" i="2"/>
  <c r="K42" i="2"/>
  <c r="J42" i="2"/>
  <c r="I42" i="2"/>
  <c r="H42" i="2"/>
  <c r="G42" i="2"/>
  <c r="F42" i="2"/>
  <c r="E42" i="2"/>
  <c r="D42" i="2"/>
  <c r="C42" i="2"/>
  <c r="B42" i="2"/>
  <c r="M41" i="2"/>
  <c r="L41" i="2"/>
  <c r="K41" i="2"/>
  <c r="J41" i="2"/>
  <c r="I41" i="2"/>
  <c r="H41" i="2"/>
  <c r="G41" i="2"/>
  <c r="F41" i="2"/>
  <c r="E41" i="2"/>
  <c r="D41" i="2"/>
  <c r="C41" i="2"/>
  <c r="B41" i="2"/>
  <c r="M40" i="2"/>
  <c r="L40" i="2"/>
  <c r="K40" i="2"/>
  <c r="J40" i="2"/>
  <c r="I40" i="2"/>
  <c r="H40" i="2"/>
  <c r="G40" i="2"/>
  <c r="F40" i="2"/>
  <c r="E40" i="2"/>
  <c r="D40" i="2"/>
  <c r="C40" i="2"/>
  <c r="B40" i="2"/>
  <c r="M39" i="2"/>
  <c r="L39" i="2"/>
  <c r="K39" i="2"/>
  <c r="J39" i="2"/>
  <c r="I39" i="2"/>
  <c r="H39" i="2"/>
  <c r="G39" i="2"/>
  <c r="F39" i="2"/>
  <c r="E39" i="2"/>
  <c r="D39" i="2"/>
  <c r="C39" i="2"/>
  <c r="B39" i="2"/>
  <c r="M38" i="2"/>
  <c r="L38" i="2"/>
  <c r="K38" i="2"/>
  <c r="J38" i="2"/>
  <c r="I38" i="2"/>
  <c r="H38" i="2"/>
  <c r="G38" i="2"/>
  <c r="F38" i="2"/>
  <c r="E38" i="2"/>
  <c r="D38" i="2"/>
  <c r="C38" i="2"/>
  <c r="B38" i="2"/>
  <c r="M37" i="2"/>
  <c r="L37" i="2"/>
  <c r="K37" i="2"/>
  <c r="J37" i="2"/>
  <c r="I37" i="2"/>
  <c r="H37" i="2"/>
  <c r="G37" i="2"/>
  <c r="F37" i="2"/>
  <c r="E37" i="2"/>
  <c r="D37" i="2"/>
  <c r="C37" i="2"/>
  <c r="B37" i="2"/>
  <c r="M36" i="2"/>
  <c r="L36" i="2"/>
  <c r="K36" i="2"/>
  <c r="J36" i="2"/>
  <c r="I36" i="2"/>
  <c r="H36" i="2"/>
  <c r="G36" i="2"/>
  <c r="F36" i="2"/>
  <c r="E36" i="2"/>
  <c r="D36" i="2"/>
  <c r="C36" i="2"/>
  <c r="B36" i="2"/>
  <c r="M35" i="2"/>
  <c r="L35" i="2"/>
  <c r="K35" i="2"/>
  <c r="J35" i="2"/>
  <c r="I35" i="2"/>
  <c r="H35" i="2"/>
  <c r="G35" i="2"/>
  <c r="F35" i="2"/>
  <c r="E35" i="2"/>
  <c r="D35" i="2"/>
  <c r="C35" i="2"/>
  <c r="B35" i="2"/>
  <c r="M33" i="2"/>
  <c r="L33" i="2"/>
  <c r="K33" i="2"/>
  <c r="J33" i="2"/>
  <c r="I33" i="2"/>
  <c r="H33" i="2"/>
  <c r="G33" i="2"/>
  <c r="F33" i="2"/>
  <c r="E33" i="2"/>
  <c r="D33" i="2"/>
  <c r="C33" i="2"/>
  <c r="B33" i="2"/>
  <c r="M32" i="2"/>
  <c r="L32" i="2"/>
  <c r="K32" i="2"/>
  <c r="J32" i="2"/>
  <c r="I32" i="2"/>
  <c r="H32" i="2"/>
  <c r="G32" i="2"/>
  <c r="F32" i="2"/>
  <c r="E32" i="2"/>
  <c r="D32" i="2"/>
  <c r="C32" i="2"/>
  <c r="B32" i="2"/>
  <c r="M31" i="2"/>
  <c r="L31" i="2"/>
  <c r="K31" i="2"/>
  <c r="J31" i="2"/>
  <c r="I31" i="2"/>
  <c r="H31" i="2"/>
  <c r="G31" i="2"/>
  <c r="F31" i="2"/>
  <c r="E31" i="2"/>
  <c r="D31" i="2"/>
  <c r="C31" i="2"/>
  <c r="B31" i="2"/>
  <c r="M30" i="2"/>
  <c r="L30" i="2"/>
  <c r="K30" i="2"/>
  <c r="J30" i="2"/>
  <c r="I30" i="2"/>
  <c r="H30" i="2"/>
  <c r="G30" i="2"/>
  <c r="F30" i="2"/>
  <c r="E30" i="2"/>
  <c r="D30" i="2"/>
  <c r="C30" i="2"/>
  <c r="B30" i="2"/>
  <c r="M29" i="2"/>
  <c r="L29" i="2"/>
  <c r="K29" i="2"/>
  <c r="J29" i="2"/>
  <c r="I29" i="2"/>
  <c r="H29" i="2"/>
  <c r="G29" i="2"/>
  <c r="F29" i="2"/>
  <c r="E29" i="2"/>
  <c r="C29" i="2"/>
  <c r="M28" i="2"/>
  <c r="L28" i="2"/>
  <c r="K28" i="2"/>
  <c r="J28" i="2"/>
  <c r="I28" i="2"/>
  <c r="H28" i="2"/>
  <c r="G28" i="2"/>
  <c r="F28" i="2"/>
  <c r="E28" i="2"/>
  <c r="D28" i="2"/>
  <c r="C28" i="2"/>
  <c r="B28" i="2"/>
  <c r="M27" i="2"/>
  <c r="L27" i="2"/>
  <c r="K27" i="2"/>
  <c r="J27" i="2"/>
  <c r="I27" i="2"/>
  <c r="H27" i="2"/>
  <c r="G27" i="2"/>
  <c r="F27" i="2"/>
  <c r="E27" i="2"/>
  <c r="D27" i="2"/>
  <c r="C27" i="2"/>
  <c r="B27" i="2"/>
  <c r="M26" i="2"/>
  <c r="L26" i="2"/>
  <c r="K26" i="2"/>
  <c r="J26" i="2"/>
  <c r="I26" i="2"/>
  <c r="H26" i="2"/>
  <c r="G26" i="2"/>
  <c r="F26" i="2"/>
  <c r="E26" i="2"/>
  <c r="D26" i="2"/>
  <c r="C26" i="2"/>
  <c r="B26" i="2"/>
  <c r="M24" i="2"/>
  <c r="L24" i="2"/>
  <c r="K24" i="2"/>
  <c r="J24" i="2"/>
  <c r="I24" i="2"/>
  <c r="H24" i="2"/>
  <c r="G24" i="2"/>
  <c r="F24" i="2"/>
  <c r="E24" i="2"/>
  <c r="D24" i="2"/>
  <c r="C24" i="2"/>
  <c r="B24" i="2"/>
  <c r="M23" i="2"/>
  <c r="L23" i="2"/>
  <c r="K23" i="2"/>
  <c r="J23" i="2"/>
  <c r="I23" i="2"/>
  <c r="H23" i="2"/>
  <c r="G23" i="2"/>
  <c r="F23" i="2"/>
  <c r="E23" i="2"/>
  <c r="D23" i="2"/>
  <c r="C23" i="2"/>
  <c r="B23" i="2"/>
  <c r="M22" i="2"/>
  <c r="L22" i="2"/>
  <c r="K22" i="2"/>
  <c r="J22" i="2"/>
  <c r="I22" i="2"/>
  <c r="H22" i="2"/>
  <c r="G22" i="2"/>
  <c r="F22" i="2"/>
  <c r="E22" i="2"/>
  <c r="D22" i="2"/>
  <c r="M21" i="2"/>
  <c r="L21" i="2"/>
  <c r="K21" i="2"/>
  <c r="J21" i="2"/>
  <c r="I21" i="2"/>
  <c r="H21" i="2"/>
  <c r="G21" i="2"/>
  <c r="F21" i="2"/>
  <c r="E21" i="2"/>
  <c r="D21" i="2"/>
  <c r="C21" i="2"/>
  <c r="B21" i="2"/>
  <c r="M20" i="2"/>
  <c r="L20" i="2"/>
  <c r="K20" i="2"/>
  <c r="J20" i="2"/>
  <c r="I20" i="2"/>
  <c r="H20" i="2"/>
  <c r="G20" i="2"/>
  <c r="F20" i="2"/>
  <c r="E20" i="2"/>
  <c r="D20" i="2"/>
  <c r="C20" i="2"/>
  <c r="B20" i="2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6" i="2"/>
  <c r="L16" i="2"/>
  <c r="K16" i="2"/>
  <c r="J16" i="2"/>
  <c r="I16" i="2"/>
  <c r="H16" i="2"/>
  <c r="G16" i="2"/>
  <c r="F16" i="2"/>
  <c r="E16" i="2"/>
  <c r="C16" i="2"/>
  <c r="B16" i="2"/>
  <c r="M15" i="2"/>
  <c r="L15" i="2"/>
  <c r="K15" i="2"/>
  <c r="J15" i="2"/>
  <c r="I15" i="2"/>
  <c r="H15" i="2"/>
  <c r="G15" i="2"/>
  <c r="F15" i="2"/>
  <c r="E15" i="2"/>
  <c r="D15" i="2"/>
  <c r="C15" i="2"/>
  <c r="B15" i="2"/>
  <c r="M11" i="2"/>
  <c r="L11" i="2"/>
  <c r="K11" i="2"/>
  <c r="J11" i="2"/>
  <c r="I11" i="2"/>
  <c r="H11" i="2"/>
  <c r="G11" i="2"/>
  <c r="F11" i="2"/>
  <c r="E11" i="2"/>
  <c r="D11" i="2"/>
  <c r="C11" i="2"/>
  <c r="M10" i="2"/>
  <c r="L10" i="2"/>
  <c r="K10" i="2"/>
  <c r="J10" i="2"/>
  <c r="I10" i="2"/>
  <c r="H10" i="2"/>
  <c r="G10" i="2"/>
  <c r="F10" i="2"/>
  <c r="E10" i="2"/>
  <c r="D10" i="2"/>
  <c r="C10" i="2"/>
  <c r="M9" i="2"/>
  <c r="L9" i="2"/>
  <c r="K9" i="2"/>
  <c r="J9" i="2"/>
  <c r="I9" i="2"/>
  <c r="H9" i="2"/>
  <c r="G9" i="2"/>
  <c r="F9" i="2"/>
  <c r="E9" i="2"/>
  <c r="D9" i="2"/>
  <c r="C9" i="2"/>
  <c r="M8" i="2"/>
  <c r="L8" i="2"/>
  <c r="K8" i="2"/>
  <c r="J8" i="2"/>
  <c r="I8" i="2"/>
  <c r="H8" i="2"/>
  <c r="G8" i="2"/>
  <c r="F8" i="2"/>
  <c r="E8" i="2"/>
  <c r="D8" i="2"/>
  <c r="C8" i="2"/>
  <c r="B4" i="2"/>
  <c r="N4" i="2" s="1"/>
  <c r="N48" i="1"/>
  <c r="N45" i="1"/>
  <c r="N44" i="1"/>
  <c r="N43" i="1"/>
  <c r="N42" i="1"/>
  <c r="N41" i="1"/>
  <c r="N40" i="1"/>
  <c r="N39" i="1"/>
  <c r="N38" i="1"/>
  <c r="N37" i="1"/>
  <c r="M36" i="1"/>
  <c r="M19" i="1" s="1"/>
  <c r="L36" i="1"/>
  <c r="L19" i="1" s="1"/>
  <c r="K36" i="1"/>
  <c r="K19" i="1" s="1"/>
  <c r="K19" i="2" s="1"/>
  <c r="J36" i="1"/>
  <c r="J19" i="1" s="1"/>
  <c r="J19" i="2" s="1"/>
  <c r="I36" i="1"/>
  <c r="I19" i="1" s="1"/>
  <c r="H36" i="1"/>
  <c r="H19" i="1" s="1"/>
  <c r="G36" i="1"/>
  <c r="G19" i="1" s="1"/>
  <c r="G19" i="2" s="1"/>
  <c r="F36" i="1"/>
  <c r="F19" i="1" s="1"/>
  <c r="F19" i="2" s="1"/>
  <c r="E36" i="1"/>
  <c r="E19" i="1" s="1"/>
  <c r="D36" i="1"/>
  <c r="D19" i="1" s="1"/>
  <c r="D19" i="2" s="1"/>
  <c r="C36" i="1"/>
  <c r="C19" i="1" s="1"/>
  <c r="B36" i="1"/>
  <c r="B19" i="1" s="1"/>
  <c r="N33" i="1"/>
  <c r="N32" i="1"/>
  <c r="N31" i="1"/>
  <c r="N30" i="1"/>
  <c r="D29" i="1"/>
  <c r="D29" i="2" s="1"/>
  <c r="B29" i="1"/>
  <c r="B29" i="2" s="1"/>
  <c r="N28" i="1"/>
  <c r="N27" i="1"/>
  <c r="N26" i="1"/>
  <c r="M25" i="1"/>
  <c r="M25" i="2" s="1"/>
  <c r="L25" i="1"/>
  <c r="L25" i="2" s="1"/>
  <c r="K25" i="1"/>
  <c r="K25" i="2" s="1"/>
  <c r="J25" i="1"/>
  <c r="J25" i="2" s="1"/>
  <c r="I25" i="1"/>
  <c r="I25" i="2" s="1"/>
  <c r="H25" i="1"/>
  <c r="H25" i="2" s="1"/>
  <c r="G25" i="1"/>
  <c r="F25" i="1"/>
  <c r="E25" i="1"/>
  <c r="E25" i="2" s="1"/>
  <c r="D25" i="1"/>
  <c r="D25" i="2" s="1"/>
  <c r="C25" i="1"/>
  <c r="C25" i="2" s="1"/>
  <c r="B25" i="1"/>
  <c r="B25" i="2" s="1"/>
  <c r="N24" i="1"/>
  <c r="N23" i="1"/>
  <c r="C22" i="1"/>
  <c r="C22" i="2" s="1"/>
  <c r="B22" i="1"/>
  <c r="B22" i="2" s="1"/>
  <c r="N21" i="1"/>
  <c r="N20" i="1"/>
  <c r="N18" i="1"/>
  <c r="N17" i="1"/>
  <c r="D16" i="1"/>
  <c r="D16" i="2" s="1"/>
  <c r="N15" i="1"/>
  <c r="B11" i="2"/>
  <c r="B10" i="2"/>
  <c r="B9" i="2"/>
  <c r="N8" i="1"/>
  <c r="M7" i="1"/>
  <c r="L7" i="1"/>
  <c r="K7" i="1"/>
  <c r="J7" i="1"/>
  <c r="I7" i="1"/>
  <c r="H7" i="1"/>
  <c r="G7" i="1"/>
  <c r="F7" i="1"/>
  <c r="E7" i="1"/>
  <c r="D7" i="1"/>
  <c r="C7" i="1"/>
  <c r="N4" i="1"/>
  <c r="H14" i="1" l="1"/>
  <c r="F14" i="3"/>
  <c r="N10" i="2"/>
  <c r="N36" i="3"/>
  <c r="H14" i="3"/>
  <c r="N40" i="2"/>
  <c r="I7" i="2"/>
  <c r="C7" i="2"/>
  <c r="N8" i="4"/>
  <c r="J7" i="2"/>
  <c r="G7" i="2"/>
  <c r="L7" i="2"/>
  <c r="F7" i="3"/>
  <c r="I14" i="3"/>
  <c r="J7" i="4"/>
  <c r="K7" i="2"/>
  <c r="N24" i="2"/>
  <c r="N41" i="2"/>
  <c r="G14" i="1"/>
  <c r="G7" i="3"/>
  <c r="D7" i="4"/>
  <c r="E14" i="1"/>
  <c r="E14" i="3"/>
  <c r="I19" i="2"/>
  <c r="I14" i="2" s="1"/>
  <c r="I14" i="1"/>
  <c r="C19" i="2"/>
  <c r="C14" i="1"/>
  <c r="B19" i="2"/>
  <c r="B14" i="2" s="1"/>
  <c r="B14" i="1"/>
  <c r="L19" i="2"/>
  <c r="L14" i="2" s="1"/>
  <c r="L14" i="1"/>
  <c r="M14" i="3"/>
  <c r="M19" i="4"/>
  <c r="M14" i="4" s="1"/>
  <c r="N37" i="2"/>
  <c r="N41" i="4"/>
  <c r="H7" i="2"/>
  <c r="N43" i="2"/>
  <c r="J14" i="4"/>
  <c r="N20" i="4"/>
  <c r="N26" i="2"/>
  <c r="N35" i="2"/>
  <c r="N27" i="4"/>
  <c r="N31" i="4"/>
  <c r="N40" i="4"/>
  <c r="N29" i="1"/>
  <c r="N36" i="1"/>
  <c r="N25" i="4"/>
  <c r="I7" i="4"/>
  <c r="N11" i="2"/>
  <c r="N23" i="2"/>
  <c r="N30" i="2"/>
  <c r="N17" i="4"/>
  <c r="N21" i="2"/>
  <c r="N18" i="4"/>
  <c r="N24" i="4"/>
  <c r="N17" i="2"/>
  <c r="C7" i="3"/>
  <c r="L7" i="4"/>
  <c r="N38" i="4"/>
  <c r="M7" i="2"/>
  <c r="E7" i="3"/>
  <c r="G14" i="3"/>
  <c r="N35" i="4"/>
  <c r="N15" i="2"/>
  <c r="N20" i="2"/>
  <c r="N33" i="2"/>
  <c r="N36" i="2"/>
  <c r="N42" i="2"/>
  <c r="F7" i="4"/>
  <c r="N10" i="3"/>
  <c r="K14" i="3"/>
  <c r="N30" i="3"/>
  <c r="N21" i="4"/>
  <c r="N36" i="4"/>
  <c r="N28" i="2"/>
  <c r="N32" i="2"/>
  <c r="N39" i="2"/>
  <c r="N8" i="3"/>
  <c r="N16" i="2"/>
  <c r="N15" i="4"/>
  <c r="N25" i="1"/>
  <c r="D7" i="2"/>
  <c r="E7" i="2"/>
  <c r="N29" i="3"/>
  <c r="N33" i="4"/>
  <c r="N42" i="4"/>
  <c r="F7" i="2"/>
  <c r="N31" i="2"/>
  <c r="N38" i="2"/>
  <c r="E7" i="4"/>
  <c r="N30" i="4"/>
  <c r="N23" i="4"/>
  <c r="N9" i="2"/>
  <c r="D14" i="1"/>
  <c r="N22" i="2"/>
  <c r="F14" i="1"/>
  <c r="C14" i="2"/>
  <c r="N27" i="2"/>
  <c r="N11" i="4"/>
  <c r="H7" i="4"/>
  <c r="K7" i="4"/>
  <c r="G14" i="4"/>
  <c r="N26" i="4"/>
  <c r="N28" i="4"/>
  <c r="N32" i="4"/>
  <c r="N37" i="4"/>
  <c r="N39" i="4"/>
  <c r="N43" i="4"/>
  <c r="C14" i="4"/>
  <c r="G7" i="4"/>
  <c r="D14" i="2"/>
  <c r="N29" i="4"/>
  <c r="N29" i="2"/>
  <c r="J14" i="2"/>
  <c r="N19" i="3"/>
  <c r="B14" i="3"/>
  <c r="B19" i="4"/>
  <c r="B14" i="4" s="1"/>
  <c r="K14" i="2"/>
  <c r="K14" i="4"/>
  <c r="L14" i="3"/>
  <c r="L19" i="4"/>
  <c r="N16" i="4"/>
  <c r="L14" i="4"/>
  <c r="M14" i="1"/>
  <c r="M19" i="2"/>
  <c r="M14" i="2" s="1"/>
  <c r="N10" i="4"/>
  <c r="D14" i="4"/>
  <c r="D14" i="3"/>
  <c r="N22" i="4"/>
  <c r="B8" i="2"/>
  <c r="D7" i="3"/>
  <c r="J14" i="3"/>
  <c r="C9" i="4"/>
  <c r="C7" i="4" s="1"/>
  <c r="N18" i="2"/>
  <c r="J14" i="1"/>
  <c r="K14" i="1"/>
  <c r="N25" i="3"/>
  <c r="N10" i="1"/>
  <c r="B7" i="4"/>
  <c r="B7" i="1"/>
  <c r="N19" i="1"/>
  <c r="N11" i="1"/>
  <c r="N16" i="1"/>
  <c r="F25" i="2"/>
  <c r="N11" i="3"/>
  <c r="E19" i="2"/>
  <c r="E14" i="2" s="1"/>
  <c r="G25" i="2"/>
  <c r="G14" i="2" s="1"/>
  <c r="N9" i="1"/>
  <c r="M7" i="3"/>
  <c r="N9" i="3"/>
  <c r="C14" i="3"/>
  <c r="N16" i="3"/>
  <c r="E19" i="4"/>
  <c r="E14" i="4" s="1"/>
  <c r="N22" i="1"/>
  <c r="H19" i="2"/>
  <c r="H14" i="2" s="1"/>
  <c r="F19" i="4"/>
  <c r="F14" i="4" s="1"/>
  <c r="N22" i="3"/>
  <c r="H19" i="4"/>
  <c r="H14" i="4" s="1"/>
  <c r="B7" i="3"/>
  <c r="I19" i="4"/>
  <c r="I14" i="4" s="1"/>
  <c r="N25" i="2" l="1"/>
  <c r="N7" i="3"/>
  <c r="N14" i="1"/>
  <c r="B47" i="1"/>
  <c r="B49" i="1" s="1"/>
  <c r="N9" i="4"/>
  <c r="N7" i="1"/>
  <c r="N19" i="2"/>
  <c r="B48" i="3"/>
  <c r="N14" i="4"/>
  <c r="F14" i="2"/>
  <c r="N14" i="2" s="1"/>
  <c r="N7" i="4"/>
  <c r="N14" i="3"/>
  <c r="B46" i="4"/>
  <c r="N8" i="2"/>
  <c r="B7" i="2"/>
  <c r="N19" i="4"/>
  <c r="C4" i="1" l="1"/>
  <c r="C47" i="1" s="1"/>
  <c r="D4" i="1" s="1"/>
  <c r="D47" i="1" s="1"/>
  <c r="N47" i="1"/>
  <c r="N49" i="1" s="1"/>
  <c r="N46" i="4"/>
  <c r="N48" i="3"/>
  <c r="N50" i="3" s="1"/>
  <c r="C49" i="1"/>
  <c r="C4" i="4"/>
  <c r="C46" i="4" s="1"/>
  <c r="B48" i="4"/>
  <c r="C4" i="3"/>
  <c r="C48" i="3" s="1"/>
  <c r="B50" i="3"/>
  <c r="N7" i="2"/>
  <c r="N45" i="2" s="1"/>
  <c r="B45" i="2"/>
  <c r="C4" i="2" l="1"/>
  <c r="C45" i="2" s="1"/>
  <c r="B47" i="2"/>
  <c r="C50" i="3"/>
  <c r="D4" i="3"/>
  <c r="D48" i="3" s="1"/>
  <c r="D4" i="4"/>
  <c r="D46" i="4" s="1"/>
  <c r="C48" i="4"/>
  <c r="D49" i="1"/>
  <c r="E4" i="1"/>
  <c r="E47" i="1" s="1"/>
  <c r="E49" i="1" l="1"/>
  <c r="F4" i="1"/>
  <c r="F47" i="1" s="1"/>
  <c r="E4" i="4"/>
  <c r="E46" i="4" s="1"/>
  <c r="D48" i="4"/>
  <c r="D50" i="3"/>
  <c r="E4" i="3"/>
  <c r="E48" i="3" s="1"/>
  <c r="D4" i="2"/>
  <c r="D45" i="2" s="1"/>
  <c r="C47" i="2"/>
  <c r="E4" i="2" l="1"/>
  <c r="E45" i="2" s="1"/>
  <c r="D47" i="2"/>
  <c r="E50" i="3"/>
  <c r="F4" i="3"/>
  <c r="F48" i="3" s="1"/>
  <c r="F4" i="4"/>
  <c r="F46" i="4" s="1"/>
  <c r="E48" i="4"/>
  <c r="F49" i="1"/>
  <c r="G4" i="1"/>
  <c r="G47" i="1" s="1"/>
  <c r="G4" i="4" l="1"/>
  <c r="G46" i="4" s="1"/>
  <c r="F48" i="4"/>
  <c r="G49" i="1"/>
  <c r="H4" i="1"/>
  <c r="H47" i="1" s="1"/>
  <c r="F50" i="3"/>
  <c r="G4" i="3"/>
  <c r="G48" i="3" s="1"/>
  <c r="F4" i="2"/>
  <c r="F45" i="2" s="1"/>
  <c r="E47" i="2"/>
  <c r="H4" i="3" l="1"/>
  <c r="H48" i="3" s="1"/>
  <c r="G50" i="3"/>
  <c r="H49" i="1"/>
  <c r="I4" i="1"/>
  <c r="I47" i="1" s="1"/>
  <c r="G4" i="2"/>
  <c r="G45" i="2" s="1"/>
  <c r="F47" i="2"/>
  <c r="H4" i="4"/>
  <c r="H46" i="4" s="1"/>
  <c r="G48" i="4"/>
  <c r="I4" i="4" l="1"/>
  <c r="I46" i="4" s="1"/>
  <c r="H48" i="4"/>
  <c r="H4" i="2"/>
  <c r="H45" i="2" s="1"/>
  <c r="G47" i="2"/>
  <c r="J4" i="1"/>
  <c r="J47" i="1" s="1"/>
  <c r="I49" i="1"/>
  <c r="I4" i="3"/>
  <c r="I48" i="3" s="1"/>
  <c r="H50" i="3"/>
  <c r="J4" i="3" l="1"/>
  <c r="J48" i="3" s="1"/>
  <c r="I50" i="3"/>
  <c r="K4" i="1"/>
  <c r="K47" i="1" s="1"/>
  <c r="J49" i="1"/>
  <c r="I4" i="2"/>
  <c r="I45" i="2" s="1"/>
  <c r="H47" i="2"/>
  <c r="I48" i="4"/>
  <c r="J4" i="4"/>
  <c r="J46" i="4" s="1"/>
  <c r="J48" i="4" l="1"/>
  <c r="K4" i="4"/>
  <c r="K46" i="4" s="1"/>
  <c r="J4" i="2"/>
  <c r="J45" i="2" s="1"/>
  <c r="I47" i="2"/>
  <c r="L4" i="1"/>
  <c r="L47" i="1" s="1"/>
  <c r="K49" i="1"/>
  <c r="J50" i="3"/>
  <c r="K4" i="3"/>
  <c r="K48" i="3" s="1"/>
  <c r="L4" i="3" l="1"/>
  <c r="L48" i="3" s="1"/>
  <c r="K50" i="3"/>
  <c r="K4" i="2"/>
  <c r="K45" i="2" s="1"/>
  <c r="J47" i="2"/>
  <c r="L49" i="1"/>
  <c r="M4" i="1"/>
  <c r="M47" i="1" s="1"/>
  <c r="M49" i="1" s="1"/>
  <c r="K48" i="4"/>
  <c r="L4" i="4"/>
  <c r="L46" i="4" s="1"/>
  <c r="L48" i="4" l="1"/>
  <c r="M4" i="4"/>
  <c r="M46" i="4" s="1"/>
  <c r="M48" i="4" s="1"/>
  <c r="K47" i="2"/>
  <c r="L4" i="2"/>
  <c r="L45" i="2" s="1"/>
  <c r="M4" i="3"/>
  <c r="M48" i="3" s="1"/>
  <c r="M50" i="3" s="1"/>
  <c r="L50" i="3"/>
  <c r="M4" i="2" l="1"/>
  <c r="M45" i="2" s="1"/>
  <c r="M47" i="2" s="1"/>
  <c r="L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9" authorId="0" shapeId="0" xr:uid="{00000000-0006-0000-0200-000001000000}">
      <text>
        <r>
          <rPr>
            <b/>
            <sz val="9"/>
            <color rgb="FF000000"/>
            <rFont val="Segoe UI"/>
            <family val="2"/>
            <charset val="1"/>
          </rPr>
          <t>Os 205.996,55 foi tirado dessa linha e considerado em serviços, pois refere-se a reclassificação das benfeitorias de Tatui que em meses anteriores cairam em serviços, logo, o estorno deve ser considerado la.</t>
        </r>
      </text>
    </comment>
  </commentList>
</comments>
</file>

<file path=xl/sharedStrings.xml><?xml version="1.0" encoding="utf-8"?>
<sst xmlns="http://schemas.openxmlformats.org/spreadsheetml/2006/main" count="246" uniqueCount="78">
  <si>
    <t>SUSTENIDOS ORGANIZAÇÃO SOCIAL DE CULTURA</t>
  </si>
  <si>
    <t>Acumulado do Quadrimestre</t>
  </si>
  <si>
    <t>SALDO INICIAL</t>
  </si>
  <si>
    <t>1 - Demonstração das Receitas Realizadas</t>
  </si>
  <si>
    <t>R$</t>
  </si>
  <si>
    <t>Receitas</t>
  </si>
  <si>
    <t>Repasses - Contrato de Gestão</t>
  </si>
  <si>
    <t>Rendimentos Aplicação Financeira</t>
  </si>
  <si>
    <t>Créditos Vinculados</t>
  </si>
  <si>
    <t>Cheques a Compensar mês seguinte</t>
  </si>
  <si>
    <t>2 - Demonstração das Despesas Realizadas</t>
  </si>
  <si>
    <t>Despesas</t>
  </si>
  <si>
    <t>Despesa Pessoal/ Encargos/ Benefícios</t>
  </si>
  <si>
    <t>Serviços de Terceiros</t>
  </si>
  <si>
    <t>Viagens/Estadias e Eventos</t>
  </si>
  <si>
    <t>Conservação e Manutenção</t>
  </si>
  <si>
    <t>Materiais</t>
  </si>
  <si>
    <t>Água</t>
  </si>
  <si>
    <t>Energia Eletrica</t>
  </si>
  <si>
    <t>Telefonia Fixa e Móvel</t>
  </si>
  <si>
    <t>Internet</t>
  </si>
  <si>
    <t>Bolsa de Estudo</t>
  </si>
  <si>
    <t>Ajuda de custo conselho</t>
  </si>
  <si>
    <t>Seguros</t>
  </si>
  <si>
    <t>Correios</t>
  </si>
  <si>
    <t>Contingencias Trabalhistas e Adm</t>
  </si>
  <si>
    <t>Locações</t>
  </si>
  <si>
    <t>Impostos e Taxas</t>
  </si>
  <si>
    <t>Despesas Financeiras</t>
  </si>
  <si>
    <t>Recurso Devolvido - C.G. 06/2016</t>
  </si>
  <si>
    <t>Recurso Devolvido Origens Diversas</t>
  </si>
  <si>
    <t>3 - Investimentos</t>
  </si>
  <si>
    <t>Investimentos</t>
  </si>
  <si>
    <t>Equip. Procesamento de Dados / Software</t>
  </si>
  <si>
    <t>Equip. Telecomunicação</t>
  </si>
  <si>
    <t>Equip Eletro / Eletrônicos / Áudio</t>
  </si>
  <si>
    <t>Ferramentas</t>
  </si>
  <si>
    <t>Instalações</t>
  </si>
  <si>
    <t>Instrumentos Musicais / Orquestra</t>
  </si>
  <si>
    <t>Biblioteca</t>
  </si>
  <si>
    <t>Móveis e Utensílios</t>
  </si>
  <si>
    <t>Bens de Terceiros</t>
  </si>
  <si>
    <t>SALDO FINAL DO MÊS ( 1 - 2 - 3 )</t>
  </si>
  <si>
    <t>Alessandra Fernandez Alves da Costa</t>
  </si>
  <si>
    <t>Luis Carlos Trento</t>
  </si>
  <si>
    <t>Diretora Executiva</t>
  </si>
  <si>
    <t>Contador - 1SP194.841/O-4</t>
  </si>
  <si>
    <t>Total Acumulado</t>
  </si>
  <si>
    <t>SI - SALDO INICIAL</t>
  </si>
  <si>
    <t>1 - ENTRADAS</t>
  </si>
  <si>
    <t>Total de Entradas</t>
  </si>
  <si>
    <t>Receita Aplicação Financeira - C.G.</t>
  </si>
  <si>
    <t>Créditos Vinculados - C.G.</t>
  </si>
  <si>
    <t>Cheques a Compensar mês seguinte - C.G.</t>
  </si>
  <si>
    <t>2 - SAÍDAS</t>
  </si>
  <si>
    <t>Total de Saídas</t>
  </si>
  <si>
    <t>Imobilizados</t>
  </si>
  <si>
    <t>Equip. Eletro / Eletrônicos / Áudio</t>
  </si>
  <si>
    <t>SALDO FINAL DO MÊS ( SI + 1 - 2 )</t>
  </si>
  <si>
    <t>1  Demonstração das Receitas Realizadas</t>
  </si>
  <si>
    <t>Repasses - Contrato de Gestão / Outros Recursos</t>
  </si>
  <si>
    <t>Receita Aplicação Financeira - C.G. / Outros</t>
  </si>
  <si>
    <t>Créditos Vinculados - C.G. / Outros</t>
  </si>
  <si>
    <t>Cheques a Compensar mês seguinte - C.G. / Outros</t>
  </si>
  <si>
    <t>Telefonia / Internet</t>
  </si>
  <si>
    <t>Benfeitorias</t>
  </si>
  <si>
    <t>Marcas e Patentes</t>
  </si>
  <si>
    <t>Créditos Vinculados - C.G. PRONAC/OUTROS</t>
  </si>
  <si>
    <t>Patrocínios</t>
  </si>
  <si>
    <t>Repasse entre Unidades Culturais</t>
  </si>
  <si>
    <t>Telefonia e Internet</t>
  </si>
  <si>
    <t>Gás</t>
  </si>
  <si>
    <t>Recurso Devolvido - C.G. 04/2020</t>
  </si>
  <si>
    <t>Imobilizado em andamento</t>
  </si>
  <si>
    <t>RAFAEL SALIM BALASSIANO</t>
  </si>
  <si>
    <t>Diretor Adm Financeiro</t>
  </si>
  <si>
    <t xml:space="preserve">Cláudia dos Anjos Silva </t>
  </si>
  <si>
    <t>Contador - 1SP284676/O-8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</si>
</sst>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R$ &quot;* #,##0.00_);_(&quot;R$ &quot;* \(#,##0.00\);_(&quot;R$ &quot;* \-??_);_(@_)"/>
    <numFmt numFmtId="165" formatCode="_-&quot;R$ &quot;* #,##0.00_-;&quot;-R$ &quot;* #,##0.00_-;_-&quot;R$ &quot;* \-??_-;_-@_-"/>
    <numFmt numFmtId="166" formatCode="_-* #,##0.00_-;\-* #,##0.00_-;_-* \-??_-;_-@_-"/>
    <numFmt numFmtId="167" formatCode="_(* #,##0.00_);_(* \(#,##0.00\);_(* \-??_);_(@_)"/>
    <numFmt numFmtId="168" formatCode="#,##0.00_);\(#,##0.00\)"/>
    <numFmt numFmtId="169" formatCode="#,##0.00_ ;[Red]\-#,##0.00\ "/>
    <numFmt numFmtId="170" formatCode="#,##0.00_);[Red]\(#,##0.00\)"/>
    <numFmt numFmtId="171" formatCode="_(&quot;R$ &quot;* #,##0.00_);_(&quot;R$ &quot;* \(#,##0.00\);_(&quot;R$ &quot;* &quot;-&quot;??_);_(@_)"/>
  </numFmts>
  <fonts count="21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Arial"/>
      <family val="2"/>
      <charset val="1"/>
    </font>
    <font>
      <b/>
      <sz val="12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b/>
      <u/>
      <sz val="12"/>
      <color rgb="FF0000FF"/>
      <name val="Arial"/>
      <family val="2"/>
      <charset val="1"/>
    </font>
    <font>
      <b/>
      <sz val="10"/>
      <color rgb="FF0000FF"/>
      <name val="Arial"/>
      <family val="2"/>
      <charset val="1"/>
    </font>
    <font>
      <sz val="12"/>
      <color rgb="FF0000FF"/>
      <name val="Arial"/>
      <family val="2"/>
      <charset val="1"/>
    </font>
    <font>
      <sz val="12"/>
      <name val="Arial"/>
      <family val="2"/>
      <charset val="1"/>
    </font>
    <font>
      <b/>
      <sz val="12"/>
      <color rgb="FFFF6600"/>
      <name val="Arial"/>
      <family val="2"/>
      <charset val="1"/>
    </font>
    <font>
      <b/>
      <sz val="12"/>
      <color rgb="FF0000FF"/>
      <name val="Arial"/>
      <family val="2"/>
      <charset val="1"/>
    </font>
    <font>
      <sz val="10"/>
      <color rgb="FF0000FF"/>
      <name val="Arial"/>
      <family val="2"/>
      <charset val="1"/>
    </font>
    <font>
      <b/>
      <sz val="9"/>
      <color rgb="FF000000"/>
      <name val="Segoe UI"/>
      <family val="2"/>
      <charset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166" fontId="17" fillId="0" borderId="0" applyBorder="0" applyProtection="0"/>
    <xf numFmtId="164" fontId="17" fillId="0" borderId="0" applyBorder="0" applyProtection="0"/>
    <xf numFmtId="164" fontId="17" fillId="0" borderId="0" applyBorder="0" applyProtection="0"/>
    <xf numFmtId="165" fontId="17" fillId="0" borderId="0" applyBorder="0" applyProtection="0"/>
    <xf numFmtId="0" fontId="3" fillId="0" borderId="0"/>
    <xf numFmtId="0" fontId="4" fillId="0" borderId="0"/>
    <xf numFmtId="0" fontId="3" fillId="0" borderId="0"/>
    <xf numFmtId="9" fontId="17" fillId="0" borderId="0" applyBorder="0" applyProtection="0"/>
    <xf numFmtId="166" fontId="17" fillId="0" borderId="0" applyBorder="0" applyProtection="0"/>
    <xf numFmtId="166" fontId="17" fillId="0" borderId="0" applyBorder="0" applyProtection="0"/>
    <xf numFmtId="167" fontId="3" fillId="0" borderId="0" applyBorder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17" fontId="6" fillId="0" borderId="0" xfId="0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wrapText="1"/>
    </xf>
    <xf numFmtId="0" fontId="7" fillId="0" borderId="1" xfId="0" applyFont="1" applyBorder="1" applyAlignment="1">
      <alignment vertical="center"/>
    </xf>
    <xf numFmtId="167" fontId="6" fillId="0" borderId="1" xfId="0" applyNumberFormat="1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vertical="top" wrapText="1"/>
    </xf>
    <xf numFmtId="168" fontId="10" fillId="0" borderId="1" xfId="2" applyNumberFormat="1" applyFont="1" applyBorder="1" applyAlignment="1" applyProtection="1">
      <alignment vertical="top" wrapText="1"/>
    </xf>
    <xf numFmtId="0" fontId="11" fillId="0" borderId="0" xfId="0" applyFont="1"/>
    <xf numFmtId="0" fontId="6" fillId="0" borderId="1" xfId="0" applyFont="1" applyBorder="1" applyAlignment="1">
      <alignment horizontal="left" vertical="top" wrapText="1"/>
    </xf>
    <xf numFmtId="168" fontId="8" fillId="0" borderId="1" xfId="2" applyNumberFormat="1" applyFont="1" applyBorder="1" applyAlignment="1" applyProtection="1">
      <alignment vertical="top" wrapText="1"/>
    </xf>
    <xf numFmtId="0" fontId="12" fillId="0" borderId="0" xfId="0" applyFont="1"/>
    <xf numFmtId="0" fontId="6" fillId="0" borderId="1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168" fontId="10" fillId="0" borderId="1" xfId="0" applyNumberFormat="1" applyFont="1" applyBorder="1" applyAlignment="1">
      <alignment horizontal="right" vertical="top" wrapText="1"/>
    </xf>
    <xf numFmtId="169" fontId="8" fillId="0" borderId="1" xfId="2" applyNumberFormat="1" applyFont="1" applyBorder="1" applyAlignment="1" applyProtection="1">
      <alignment vertical="top" wrapText="1"/>
    </xf>
    <xf numFmtId="164" fontId="8" fillId="0" borderId="0" xfId="2" applyFont="1" applyBorder="1" applyAlignment="1" applyProtection="1">
      <alignment vertical="top" wrapText="1"/>
    </xf>
    <xf numFmtId="0" fontId="14" fillId="0" borderId="1" xfId="0" applyFont="1" applyBorder="1" applyAlignment="1">
      <alignment horizontal="left" vertical="top" wrapText="1"/>
    </xf>
    <xf numFmtId="168" fontId="10" fillId="0" borderId="1" xfId="0" applyNumberFormat="1" applyFont="1" applyBorder="1" applyAlignment="1">
      <alignment vertical="top" wrapText="1"/>
    </xf>
    <xf numFmtId="0" fontId="15" fillId="0" borderId="0" xfId="0" applyFont="1"/>
    <xf numFmtId="168" fontId="8" fillId="0" borderId="0" xfId="2" applyNumberFormat="1" applyFont="1" applyBorder="1" applyAlignment="1" applyProtection="1">
      <alignment vertical="top" wrapText="1"/>
    </xf>
    <xf numFmtId="4" fontId="3" fillId="0" borderId="0" xfId="0" applyNumberFormat="1" applyFont="1"/>
    <xf numFmtId="0" fontId="3" fillId="0" borderId="2" xfId="0" applyFont="1" applyBorder="1"/>
    <xf numFmtId="4" fontId="3" fillId="0" borderId="2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/>
    <xf numFmtId="168" fontId="3" fillId="0" borderId="0" xfId="0" applyNumberFormat="1" applyFont="1"/>
    <xf numFmtId="170" fontId="3" fillId="0" borderId="0" xfId="0" applyNumberFormat="1" applyFont="1"/>
    <xf numFmtId="0" fontId="6" fillId="0" borderId="1" xfId="0" applyFont="1" applyBorder="1" applyAlignment="1">
      <alignment horizontal="left" vertical="center"/>
    </xf>
    <xf numFmtId="167" fontId="8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top" wrapText="1"/>
    </xf>
    <xf numFmtId="166" fontId="12" fillId="0" borderId="0" xfId="1" applyFont="1" applyBorder="1" applyProtection="1"/>
    <xf numFmtId="168" fontId="8" fillId="0" borderId="3" xfId="2" applyNumberFormat="1" applyFont="1" applyBorder="1" applyAlignment="1" applyProtection="1">
      <alignment vertical="top" wrapText="1"/>
    </xf>
    <xf numFmtId="4" fontId="0" fillId="0" borderId="0" xfId="0" applyNumberFormat="1"/>
    <xf numFmtId="168" fontId="8" fillId="0" borderId="0" xfId="0" applyNumberFormat="1" applyFont="1"/>
    <xf numFmtId="166" fontId="11" fillId="0" borderId="0" xfId="1" applyFont="1" applyBorder="1" applyProtection="1"/>
    <xf numFmtId="166" fontId="3" fillId="0" borderId="0" xfId="1" applyFont="1" applyBorder="1" applyProtection="1"/>
    <xf numFmtId="0" fontId="18" fillId="0" borderId="0" xfId="0" applyFont="1"/>
    <xf numFmtId="0" fontId="19" fillId="0" borderId="0" xfId="16"/>
    <xf numFmtId="0" fontId="20" fillId="0" borderId="0" xfId="16" applyFont="1"/>
    <xf numFmtId="4" fontId="18" fillId="0" borderId="2" xfId="16" applyNumberFormat="1" applyFont="1" applyBorder="1"/>
    <xf numFmtId="167" fontId="3" fillId="0" borderId="0" xfId="0" applyNumberFormat="1" applyFont="1"/>
    <xf numFmtId="43" fontId="15" fillId="0" borderId="0" xfId="0" applyNumberFormat="1" applyFont="1"/>
    <xf numFmtId="0" fontId="5" fillId="0" borderId="0" xfId="0" applyFont="1" applyAlignment="1">
      <alignment horizontal="center" vertical="center" wrapText="1"/>
    </xf>
  </cellXfs>
  <cellStyles count="27">
    <cellStyle name="Moeda" xfId="2" builtinId="4"/>
    <cellStyle name="Moeda 2" xfId="3" xr:uid="{00000000-0005-0000-0000-000001000000}"/>
    <cellStyle name="Moeda 2 2" xfId="4" xr:uid="{00000000-0005-0000-0000-000002000000}"/>
    <cellStyle name="Moeda 2 2 2" xfId="23" xr:uid="{00000000-0005-0000-0000-000003000000}"/>
    <cellStyle name="Moeda 2 3" xfId="18" xr:uid="{00000000-0005-0000-0000-000004000000}"/>
    <cellStyle name="Moeda 3" xfId="17" xr:uid="{00000000-0005-0000-0000-000005000000}"/>
    <cellStyle name="Normal" xfId="0" builtinId="0"/>
    <cellStyle name="Normal 2" xfId="5" xr:uid="{00000000-0005-0000-0000-000007000000}"/>
    <cellStyle name="Normal 2 2" xfId="6" xr:uid="{00000000-0005-0000-0000-000008000000}"/>
    <cellStyle name="Normal 2 2 2" xfId="24" xr:uid="{00000000-0005-0000-0000-000009000000}"/>
    <cellStyle name="Normal 2 3" xfId="19" xr:uid="{00000000-0005-0000-0000-00000A000000}"/>
    <cellStyle name="Normal 3" xfId="7" xr:uid="{00000000-0005-0000-0000-00000B000000}"/>
    <cellStyle name="Normal 4" xfId="12" xr:uid="{00000000-0005-0000-0000-00000C000000}"/>
    <cellStyle name="Normal 5" xfId="14" xr:uid="{00000000-0005-0000-0000-00000D000000}"/>
    <cellStyle name="Normal 6" xfId="16" xr:uid="{00000000-0005-0000-0000-00000E000000}"/>
    <cellStyle name="Porcentagem 2" xfId="8" xr:uid="{00000000-0005-0000-0000-00000F000000}"/>
    <cellStyle name="Porcentagem 2 2" xfId="25" xr:uid="{00000000-0005-0000-0000-000010000000}"/>
    <cellStyle name="Porcentagem 2 3" xfId="20" xr:uid="{00000000-0005-0000-0000-000011000000}"/>
    <cellStyle name="Vírgula" xfId="1" builtinId="3"/>
    <cellStyle name="Vírgula 2" xfId="9" xr:uid="{00000000-0005-0000-0000-000013000000}"/>
    <cellStyle name="Vírgula 2 2" xfId="10" xr:uid="{00000000-0005-0000-0000-000014000000}"/>
    <cellStyle name="Vírgula 2 2 2" xfId="26" xr:uid="{00000000-0005-0000-0000-000015000000}"/>
    <cellStyle name="Vírgula 2 3" xfId="21" xr:uid="{00000000-0005-0000-0000-000016000000}"/>
    <cellStyle name="Vírgula 3" xfId="11" xr:uid="{00000000-0005-0000-0000-000017000000}"/>
    <cellStyle name="Vírgula 4" xfId="13" xr:uid="{00000000-0005-0000-0000-000018000000}"/>
    <cellStyle name="Vírgula 5" xfId="15" xr:uid="{00000000-0005-0000-0000-000019000000}"/>
    <cellStyle name="Vírgula 6" xfId="22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40320</xdr:colOff>
      <xdr:row>1</xdr:row>
      <xdr:rowOff>122760</xdr:rowOff>
    </xdr:from>
    <xdr:to>
      <xdr:col>1</xdr:col>
      <xdr:colOff>125640</xdr:colOff>
      <xdr:row>1</xdr:row>
      <xdr:rowOff>770040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320" y="979920"/>
          <a:ext cx="4107240" cy="6472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23040" rIns="0" bIns="0" anchor="t" upright="1">
          <a:noAutofit/>
        </a:bodyPr>
        <a:lstStyle/>
        <a:p>
          <a:pPr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/>
            </a:rPr>
            <a:t>CONTRATO DE GESTÃO Nº 06/2016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/>
            </a:rPr>
            <a:t>Órgão: SECRETARIA DE CULTURA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302760</xdr:colOff>
      <xdr:row>1</xdr:row>
      <xdr:rowOff>123840</xdr:rowOff>
    </xdr:from>
    <xdr:to>
      <xdr:col>13</xdr:col>
      <xdr:colOff>1277640</xdr:colOff>
      <xdr:row>1</xdr:row>
      <xdr:rowOff>771120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24680" y="981000"/>
          <a:ext cx="15610320" cy="6472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23040" rIns="27360" bIns="0" anchor="t" upright="1">
          <a:noAutofit/>
        </a:bodyPr>
        <a:lstStyle/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/>
            </a:rPr>
            <a:t>Relatório de Receitas / Despesas / Investimentos (C.G. - Contrato de Gestão)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/>
            </a:rPr>
            <a:t>Período: 2° Quadrimestre / 2022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Times New Roman"/>
            </a:rPr>
            <a:t>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>
    <xdr:from>
      <xdr:col>14</xdr:col>
      <xdr:colOff>103320</xdr:colOff>
      <xdr:row>6</xdr:row>
      <xdr:rowOff>77040</xdr:rowOff>
    </xdr:from>
    <xdr:to>
      <xdr:col>17</xdr:col>
      <xdr:colOff>191520</xdr:colOff>
      <xdr:row>12</xdr:row>
      <xdr:rowOff>9000</xdr:rowOff>
    </xdr:to>
    <xdr:sp macro="" textlink="">
      <xdr:nvSpPr>
        <xdr:cNvPr id="4" name="Text Box 3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171520" y="2838960"/>
          <a:ext cx="2031480" cy="11894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23040" rIns="0" bIns="0" anchor="t" upright="1">
          <a:noAutofit/>
        </a:bodyPr>
        <a:lstStyle/>
        <a:p>
          <a:pPr>
            <a:lnSpc>
              <a:spcPct val="100000"/>
            </a:lnSpc>
          </a:pPr>
          <a:r>
            <a:rPr lang="pt-BR" sz="1000" b="1" strike="noStrike" spc="-1">
              <a:solidFill>
                <a:srgbClr val="FF0000"/>
              </a:solidFill>
              <a:latin typeface="Arial"/>
            </a:rPr>
            <a:t>QUANDO FOR ENVIAR O REL DO QUADRIMESTRE, ENVIAR APENAS O QUADRIMESTRE DO C.G., O ACUMULADO CONSOLIDADO FOI CRIADO PARA SER UTILIZADO NO REL. ANUAL.</a:t>
          </a:r>
          <a:endParaRPr lang="pt-BR" sz="10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521640</xdr:colOff>
      <xdr:row>1</xdr:row>
      <xdr:rowOff>34560</xdr:rowOff>
    </xdr:to>
    <xdr:pic>
      <xdr:nvPicPr>
        <xdr:cNvPr id="5" name="Imagem 6" descr=":papel_timbrado_cabecalho_sp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543560" cy="891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19080</xdr:colOff>
      <xdr:row>1</xdr:row>
      <xdr:rowOff>122760</xdr:rowOff>
    </xdr:from>
    <xdr:to>
      <xdr:col>1</xdr:col>
      <xdr:colOff>104400</xdr:colOff>
      <xdr:row>1</xdr:row>
      <xdr:rowOff>770040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9080" y="979920"/>
          <a:ext cx="4228560" cy="6472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23040" rIns="0" bIns="0" anchor="t" upright="1">
          <a:noAutofit/>
        </a:bodyPr>
        <a:lstStyle/>
        <a:p>
          <a:pPr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/>
            </a:rPr>
            <a:t>CONTRATO DE GESTÃO Nº 06/2016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/>
            </a:rPr>
            <a:t>Órgão: SECRETARIA DE CULTURA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302760</xdr:colOff>
      <xdr:row>1</xdr:row>
      <xdr:rowOff>123840</xdr:rowOff>
    </xdr:from>
    <xdr:to>
      <xdr:col>13</xdr:col>
      <xdr:colOff>1277640</xdr:colOff>
      <xdr:row>1</xdr:row>
      <xdr:rowOff>771120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446000" y="981000"/>
          <a:ext cx="13817160" cy="6472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23040" rIns="27360" bIns="0" anchor="t" upright="1">
          <a:noAutofit/>
        </a:bodyPr>
        <a:lstStyle/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/>
            </a:rPr>
            <a:t>Demonstrativo do Fluxo de Caixa Direto (C.G. 06/16)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/>
            </a:rPr>
            <a:t>Período: 2022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Times New Roman"/>
            </a:rPr>
            <a:t>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521640</xdr:colOff>
      <xdr:row>1</xdr:row>
      <xdr:rowOff>34560</xdr:rowOff>
    </xdr:to>
    <xdr:pic>
      <xdr:nvPicPr>
        <xdr:cNvPr id="6" name="Imagem 3" descr=":papel_timbrado_cabecalho_sp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664880" cy="891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411480</xdr:colOff>
      <xdr:row>1</xdr:row>
      <xdr:rowOff>34560</xdr:rowOff>
    </xdr:to>
    <xdr:pic>
      <xdr:nvPicPr>
        <xdr:cNvPr id="7" name="Imagem 4" descr=":papel_timbrado_cabecalho_sp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4554720" cy="891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521640</xdr:colOff>
      <xdr:row>1</xdr:row>
      <xdr:rowOff>34560</xdr:rowOff>
    </xdr:to>
    <xdr:pic>
      <xdr:nvPicPr>
        <xdr:cNvPr id="8" name="Imagem 5" descr=":papel_timbrado_cabecalho_sp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664880" cy="891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14</xdr:col>
      <xdr:colOff>178560</xdr:colOff>
      <xdr:row>4</xdr:row>
      <xdr:rowOff>77040</xdr:rowOff>
    </xdr:from>
    <xdr:to>
      <xdr:col>18</xdr:col>
      <xdr:colOff>126720</xdr:colOff>
      <xdr:row>12</xdr:row>
      <xdr:rowOff>17280</xdr:rowOff>
    </xdr:to>
    <xdr:sp macro="" textlink="">
      <xdr:nvSpPr>
        <xdr:cNvPr id="9" name="Texto explicativo retangular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8574920" y="2210400"/>
          <a:ext cx="2539080" cy="1616760"/>
        </a:xfrm>
        <a:prstGeom prst="wedgeRectCallout">
          <a:avLst>
            <a:gd name="adj1" fmla="val -20833"/>
            <a:gd name="adj2" fmla="val 62500"/>
          </a:avLst>
        </a:prstGeom>
        <a:gradFill rotWithShape="0">
          <a:gsLst>
            <a:gs pos="0">
              <a:srgbClr val="BFECFF"/>
            </a:gs>
            <a:gs pos="100000">
              <a:srgbClr val="E6F7FF"/>
            </a:gs>
          </a:gsLst>
          <a:lin ang="16200000"/>
        </a:gradFill>
        <a:ln>
          <a:solidFill>
            <a:srgbClr val="46AAC4"/>
          </a:solidFill>
          <a:round/>
        </a:ln>
        <a:effectLst>
          <a:outerShdw blurRad="39960" dist="20160" dir="5400000" rotWithShape="0">
            <a:srgbClr val="000000">
              <a:alpha val="38000"/>
            </a:srgb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>
            <a:lnSpc>
              <a:spcPct val="100000"/>
            </a:lnSpc>
          </a:pPr>
          <a:r>
            <a:rPr lang="pt-BR" sz="1600" b="1" strike="noStrike" spc="-1">
              <a:solidFill>
                <a:srgbClr val="000000"/>
              </a:solidFill>
              <a:latin typeface="Calibri"/>
            </a:rPr>
            <a:t>A partir de fev20, o fluxo que iremos passar para SEC é apenas o do CG e não mais o consolidado</a:t>
          </a:r>
          <a:endParaRPr lang="pt-BR" sz="1600" b="0" strike="noStrike" spc="-1"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19080</xdr:colOff>
      <xdr:row>1</xdr:row>
      <xdr:rowOff>122760</xdr:rowOff>
    </xdr:from>
    <xdr:to>
      <xdr:col>1</xdr:col>
      <xdr:colOff>104400</xdr:colOff>
      <xdr:row>1</xdr:row>
      <xdr:rowOff>770040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9080" y="979920"/>
          <a:ext cx="4228560" cy="6472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23040" rIns="0" bIns="0" anchor="t" upright="1">
          <a:noAutofit/>
        </a:bodyPr>
        <a:lstStyle/>
        <a:p>
          <a:pPr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/>
            </a:rPr>
            <a:t>CONTRATO DE GESTÃO Nº 06/2016 e 04/2020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/>
            </a:rPr>
            <a:t>Órgão: SECRETARIA DE CULTURA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302760</xdr:colOff>
      <xdr:row>1</xdr:row>
      <xdr:rowOff>123840</xdr:rowOff>
    </xdr:from>
    <xdr:to>
      <xdr:col>13</xdr:col>
      <xdr:colOff>1285560</xdr:colOff>
      <xdr:row>1</xdr:row>
      <xdr:rowOff>771120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446000" y="981000"/>
          <a:ext cx="15618240" cy="6472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23040" rIns="27360" bIns="0" anchor="t" upright="1">
          <a:noAutofit/>
        </a:bodyPr>
        <a:lstStyle/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/>
            </a:rPr>
            <a:t>Relatório de Receitas / Despesas / Investimentos (Consolidado)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/>
            </a:rPr>
            <a:t>Período: 2° Quadrimestre / 2022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Times New Roman"/>
            </a:rPr>
            <a:t>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411480</xdr:colOff>
      <xdr:row>1</xdr:row>
      <xdr:rowOff>34560</xdr:rowOff>
    </xdr:to>
    <xdr:pic>
      <xdr:nvPicPr>
        <xdr:cNvPr id="12" name="Imagem 6" descr=":papel_timbrado_cabecalho_sp.jp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554720" cy="891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521640</xdr:colOff>
      <xdr:row>1</xdr:row>
      <xdr:rowOff>34560</xdr:rowOff>
    </xdr:to>
    <xdr:pic>
      <xdr:nvPicPr>
        <xdr:cNvPr id="13" name="Imagem 7" descr=":papel_timbrado_cabecalho_sp.jp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4664880" cy="891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19080</xdr:colOff>
      <xdr:row>1</xdr:row>
      <xdr:rowOff>122760</xdr:rowOff>
    </xdr:from>
    <xdr:to>
      <xdr:col>1</xdr:col>
      <xdr:colOff>104400</xdr:colOff>
      <xdr:row>1</xdr:row>
      <xdr:rowOff>770040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19080" y="979920"/>
          <a:ext cx="4228560" cy="6472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23040" rIns="0" bIns="0" anchor="t" upright="1">
          <a:noAutofit/>
        </a:bodyPr>
        <a:lstStyle/>
        <a:p>
          <a:pPr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/>
            </a:rPr>
            <a:t>CONTRATO DE GESTÃO Nº 06/2016 e 04/2020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/>
            </a:rPr>
            <a:t>Órgão: SECRETARIA DE CULTURA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302760</xdr:colOff>
      <xdr:row>1</xdr:row>
      <xdr:rowOff>123840</xdr:rowOff>
    </xdr:from>
    <xdr:to>
      <xdr:col>13</xdr:col>
      <xdr:colOff>1277640</xdr:colOff>
      <xdr:row>1</xdr:row>
      <xdr:rowOff>771120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446000" y="981000"/>
          <a:ext cx="13817160" cy="6472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23040" rIns="27360" bIns="0" anchor="t" upright="1">
          <a:noAutofit/>
        </a:bodyPr>
        <a:lstStyle/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/>
            </a:rPr>
            <a:t>Demonstrativo do Fluxo de Caixa Direto (Consolidado)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/>
            </a:rPr>
            <a:t>Período: 2022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Times New Roman"/>
            </a:rPr>
            <a:t>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521640</xdr:colOff>
      <xdr:row>1</xdr:row>
      <xdr:rowOff>34560</xdr:rowOff>
    </xdr:to>
    <xdr:pic>
      <xdr:nvPicPr>
        <xdr:cNvPr id="16" name="Imagem 5" descr=":papel_timbrado_cabecalho_sp.jpg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664880" cy="891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411480</xdr:colOff>
      <xdr:row>1</xdr:row>
      <xdr:rowOff>34560</xdr:rowOff>
    </xdr:to>
    <xdr:pic>
      <xdr:nvPicPr>
        <xdr:cNvPr id="17" name="Imagem 6" descr=":papel_timbrado_cabecalho_sp.jpg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4554720" cy="8917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521640</xdr:colOff>
      <xdr:row>1</xdr:row>
      <xdr:rowOff>34560</xdr:rowOff>
    </xdr:to>
    <xdr:pic>
      <xdr:nvPicPr>
        <xdr:cNvPr id="18" name="Imagem 7" descr=":papel_timbrado_cabecalho_sp.jpg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664880" cy="8917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19080</xdr:colOff>
      <xdr:row>1</xdr:row>
      <xdr:rowOff>122760</xdr:rowOff>
    </xdr:from>
    <xdr:to>
      <xdr:col>1</xdr:col>
      <xdr:colOff>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9080" y="983538"/>
          <a:ext cx="5067976" cy="73801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23040" rIns="0" bIns="0" anchor="t" upright="1">
          <a:noAutofit/>
        </a:bodyPr>
        <a:lstStyle/>
        <a:p>
          <a:pPr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/>
            </a:rPr>
            <a:t>CONTRATO DE GESTÃO Nº 04/2020</a:t>
          </a:r>
          <a:endParaRPr lang="pt-BR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/>
            </a:rPr>
            <a:t>Órgão: SECRETARIA DE CULTURA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-1</xdr:colOff>
      <xdr:row>1</xdr:row>
      <xdr:rowOff>123839</xdr:rowOff>
    </xdr:from>
    <xdr:to>
      <xdr:col>5</xdr:col>
      <xdr:colOff>1432277</xdr:colOff>
      <xdr:row>2</xdr:row>
      <xdr:rowOff>7054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5087055" y="984617"/>
          <a:ext cx="6420555" cy="7439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23040" rIns="27360" bIns="0" anchor="t" upright="1">
          <a:noAutofit/>
        </a:bodyPr>
        <a:lstStyle/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/>
            </a:rPr>
            <a:t>Relatório de Receitas / Despesas / Investimentos (C.G. Contrato de Gestão Conservatório de Tatuí)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Arial"/>
            </a:rPr>
            <a:t>Período : 2° Quadrimestre / 2024</a:t>
          </a: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pt-B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pt-BR" sz="1200" b="1" strike="noStrike" spc="-1">
              <a:solidFill>
                <a:srgbClr val="000000"/>
              </a:solidFill>
              <a:latin typeface="Times New Roman"/>
            </a:rPr>
            <a:t> </a:t>
          </a:r>
          <a:endParaRPr lang="pt-BR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416277</xdr:colOff>
      <xdr:row>1</xdr:row>
      <xdr:rowOff>112888</xdr:rowOff>
    </xdr:to>
    <xdr:pic>
      <xdr:nvPicPr>
        <xdr:cNvPr id="21" name="Imagem 5" descr="Interface gráfica do usuário, Texto&#10;&#10;Descrição gerada automaticamente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/>
      </xdr:nvPicPr>
      <xdr:blipFill>
        <a:blip xmlns:r="http://schemas.openxmlformats.org/officeDocument/2006/relationships" r:embed="rId1"/>
        <a:srcRect t="19431"/>
        <a:stretch/>
      </xdr:blipFill>
      <xdr:spPr>
        <a:xfrm>
          <a:off x="0" y="0"/>
          <a:ext cx="11930944" cy="973666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MJ89"/>
  <sheetViews>
    <sheetView showGridLines="0" topLeftCell="A2" zoomScale="90" zoomScaleNormal="90" workbookViewId="0">
      <pane xSplit="1" ySplit="3" topLeftCell="B10" activePane="bottomRight" state="frozen"/>
      <selection activeCell="A2" sqref="A2"/>
      <selection pane="topRight" activeCell="B2" sqref="B2"/>
      <selection pane="bottomLeft" activeCell="A10" sqref="A10"/>
      <selection pane="bottomRight" activeCell="B5" sqref="B5"/>
    </sheetView>
  </sheetViews>
  <sheetFormatPr defaultColWidth="9.1796875" defaultRowHeight="12.5" x14ac:dyDescent="0.25"/>
  <cols>
    <col min="1" max="1" width="57" style="1" customWidth="1"/>
    <col min="2" max="2" width="17.26953125" style="1" customWidth="1"/>
    <col min="3" max="3" width="17.453125" style="1" customWidth="1"/>
    <col min="4" max="13" width="17.26953125" style="1" customWidth="1"/>
    <col min="14" max="14" width="20" style="1" customWidth="1"/>
    <col min="15" max="1024" width="9.1796875" style="1"/>
  </cols>
  <sheetData>
    <row r="1" spans="1:14" ht="67.5" customHeight="1" x14ac:dyDescent="0.25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67.5" customHeight="1" x14ac:dyDescent="0.25"/>
    <row r="3" spans="1:14" ht="33" customHeight="1" x14ac:dyDescent="0.35">
      <c r="B3" s="2">
        <v>44562</v>
      </c>
      <c r="C3" s="2">
        <v>44593</v>
      </c>
      <c r="D3" s="2">
        <v>44621</v>
      </c>
      <c r="E3" s="2">
        <v>44652</v>
      </c>
      <c r="F3" s="2">
        <v>44682</v>
      </c>
      <c r="G3" s="2">
        <v>44713</v>
      </c>
      <c r="H3" s="2">
        <v>44743</v>
      </c>
      <c r="I3" s="2">
        <v>44774</v>
      </c>
      <c r="J3" s="2">
        <v>44805</v>
      </c>
      <c r="K3" s="2">
        <v>44835</v>
      </c>
      <c r="L3" s="2">
        <v>44866</v>
      </c>
      <c r="M3" s="2">
        <v>44896</v>
      </c>
      <c r="N3" s="3" t="s">
        <v>1</v>
      </c>
    </row>
    <row r="4" spans="1:14" ht="16.5" customHeight="1" x14ac:dyDescent="0.35">
      <c r="A4" s="4" t="s">
        <v>2</v>
      </c>
      <c r="B4" s="5">
        <v>8494248.1899999995</v>
      </c>
      <c r="C4" s="5">
        <f t="shared" ref="C4:M4" si="0">B47</f>
        <v>4175354.09</v>
      </c>
      <c r="D4" s="5">
        <f t="shared" si="0"/>
        <v>2040426.5199999996</v>
      </c>
      <c r="E4" s="5">
        <f t="shared" si="0"/>
        <v>478491.41999999969</v>
      </c>
      <c r="F4" s="5">
        <f t="shared" si="0"/>
        <v>285844.20999999973</v>
      </c>
      <c r="G4" s="5">
        <f t="shared" si="0"/>
        <v>210590.25999999975</v>
      </c>
      <c r="H4" s="5">
        <f t="shared" si="0"/>
        <v>39054.739999999758</v>
      </c>
      <c r="I4" s="5">
        <f t="shared" si="0"/>
        <v>-2.4010660126805305E-10</v>
      </c>
      <c r="J4" s="5">
        <f t="shared" si="0"/>
        <v>-2.4010660126805305E-10</v>
      </c>
      <c r="K4" s="5">
        <f t="shared" si="0"/>
        <v>-2.4010660126805305E-10</v>
      </c>
      <c r="L4" s="5">
        <f t="shared" si="0"/>
        <v>-2.4010660126805305E-10</v>
      </c>
      <c r="M4" s="5">
        <f t="shared" si="0"/>
        <v>-2.4010660126805305E-10</v>
      </c>
      <c r="N4" s="5">
        <f>B4</f>
        <v>8494248.1899999995</v>
      </c>
    </row>
    <row r="5" spans="1:14" ht="16.5" customHeight="1" x14ac:dyDescent="0.3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6.5" customHeight="1" x14ac:dyDescent="0.3">
      <c r="A6" s="7" t="s">
        <v>3</v>
      </c>
      <c r="B6" s="8" t="s">
        <v>4</v>
      </c>
    </row>
    <row r="7" spans="1:14" s="11" customFormat="1" ht="16.5" customHeight="1" x14ac:dyDescent="0.35">
      <c r="A7" s="9" t="s">
        <v>5</v>
      </c>
      <c r="B7" s="10">
        <f t="shared" ref="B7:N7" si="1">SUM(B8:B11)</f>
        <v>49219.76</v>
      </c>
      <c r="C7" s="10">
        <f t="shared" si="1"/>
        <v>24385.35</v>
      </c>
      <c r="D7" s="10">
        <f t="shared" si="1"/>
        <v>13292.52</v>
      </c>
      <c r="E7" s="10">
        <f t="shared" si="1"/>
        <v>2868.32</v>
      </c>
      <c r="F7" s="10">
        <f t="shared" si="1"/>
        <v>887.4</v>
      </c>
      <c r="G7" s="10">
        <f t="shared" si="1"/>
        <v>13851.13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0">
        <f t="shared" si="1"/>
        <v>104504.48000000001</v>
      </c>
    </row>
    <row r="8" spans="1:14" s="14" customFormat="1" ht="16.5" customHeight="1" x14ac:dyDescent="0.35">
      <c r="A8" s="12" t="s">
        <v>6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12153.58</v>
      </c>
      <c r="H8" s="13">
        <v>0</v>
      </c>
      <c r="I8" s="13">
        <v>0</v>
      </c>
      <c r="J8" s="13"/>
      <c r="K8" s="13"/>
      <c r="L8" s="13"/>
      <c r="M8" s="13"/>
      <c r="N8" s="13">
        <f>SUM(B8:M8)</f>
        <v>12153.58</v>
      </c>
    </row>
    <row r="9" spans="1:14" s="14" customFormat="1" ht="16.5" customHeight="1" x14ac:dyDescent="0.35">
      <c r="A9" s="12" t="s">
        <v>7</v>
      </c>
      <c r="B9" s="13">
        <v>49219.76</v>
      </c>
      <c r="C9" s="13">
        <v>24385.35</v>
      </c>
      <c r="D9" s="13">
        <v>13292.52</v>
      </c>
      <c r="E9" s="13">
        <v>2868.32</v>
      </c>
      <c r="F9" s="13">
        <v>887.4</v>
      </c>
      <c r="G9" s="13">
        <v>1697.55</v>
      </c>
      <c r="H9" s="13">
        <v>0</v>
      </c>
      <c r="I9" s="13">
        <v>0</v>
      </c>
      <c r="J9" s="13"/>
      <c r="K9" s="13"/>
      <c r="L9" s="13"/>
      <c r="M9" s="13"/>
      <c r="N9" s="13">
        <f>SUM(B9:M9)</f>
        <v>92350.900000000009</v>
      </c>
    </row>
    <row r="10" spans="1:14" s="14" customFormat="1" ht="16.5" customHeight="1" x14ac:dyDescent="0.35">
      <c r="A10" s="15" t="s">
        <v>8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/>
      <c r="K10" s="13"/>
      <c r="L10" s="13"/>
      <c r="M10" s="13"/>
      <c r="N10" s="13">
        <f>SUM(B10:M10)</f>
        <v>0</v>
      </c>
    </row>
    <row r="11" spans="1:14" s="14" customFormat="1" ht="16.5" customHeight="1" x14ac:dyDescent="0.35">
      <c r="A11" s="12" t="s">
        <v>9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/>
      <c r="K11" s="13"/>
      <c r="L11" s="13"/>
      <c r="M11" s="13"/>
      <c r="N11" s="13">
        <f>SUM(B11:M11)</f>
        <v>0</v>
      </c>
    </row>
    <row r="12" spans="1:14" ht="16.5" customHeight="1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ht="16.5" customHeight="1" x14ac:dyDescent="0.3">
      <c r="A13" s="18" t="s">
        <v>10</v>
      </c>
      <c r="B13" s="8" t="s">
        <v>4</v>
      </c>
    </row>
    <row r="14" spans="1:14" s="11" customFormat="1" ht="16.5" customHeight="1" x14ac:dyDescent="0.35">
      <c r="A14" s="9" t="s">
        <v>11</v>
      </c>
      <c r="B14" s="19">
        <f t="shared" ref="B14:N14" si="2">SUM(B15:B33)</f>
        <v>4368113.8599999994</v>
      </c>
      <c r="C14" s="19">
        <f t="shared" si="2"/>
        <v>2159312.92</v>
      </c>
      <c r="D14" s="19">
        <f t="shared" si="2"/>
        <v>1575227.6199999999</v>
      </c>
      <c r="E14" s="19">
        <f t="shared" si="2"/>
        <v>195515.53</v>
      </c>
      <c r="F14" s="19">
        <f t="shared" si="2"/>
        <v>76141.350000000006</v>
      </c>
      <c r="G14" s="19">
        <f t="shared" si="2"/>
        <v>185386.65</v>
      </c>
      <c r="H14" s="19">
        <f t="shared" si="2"/>
        <v>39054.74</v>
      </c>
      <c r="I14" s="19">
        <f t="shared" si="2"/>
        <v>0</v>
      </c>
      <c r="J14" s="19">
        <f t="shared" si="2"/>
        <v>0</v>
      </c>
      <c r="K14" s="19">
        <f t="shared" si="2"/>
        <v>0</v>
      </c>
      <c r="L14" s="19">
        <f t="shared" si="2"/>
        <v>0</v>
      </c>
      <c r="M14" s="19">
        <f t="shared" si="2"/>
        <v>0</v>
      </c>
      <c r="N14" s="19">
        <f t="shared" si="2"/>
        <v>8598752.6700000018</v>
      </c>
    </row>
    <row r="15" spans="1:14" s="14" customFormat="1" ht="16.5" customHeight="1" x14ac:dyDescent="0.35">
      <c r="A15" s="15" t="s">
        <v>12</v>
      </c>
      <c r="B15" s="13">
        <v>3786072.67</v>
      </c>
      <c r="C15" s="13">
        <v>1994579.23</v>
      </c>
      <c r="D15" s="13">
        <v>1463747.09</v>
      </c>
      <c r="E15" s="13">
        <v>131319.4</v>
      </c>
      <c r="F15" s="13"/>
      <c r="G15" s="13"/>
      <c r="H15" s="13"/>
      <c r="I15" s="13"/>
      <c r="J15" s="13"/>
      <c r="K15" s="13"/>
      <c r="L15" s="13"/>
      <c r="M15" s="13"/>
      <c r="N15" s="13">
        <f t="shared" ref="N15:N33" si="3">SUM(B15:M15)</f>
        <v>7375718.3900000006</v>
      </c>
    </row>
    <row r="16" spans="1:14" s="14" customFormat="1" ht="16.5" customHeight="1" x14ac:dyDescent="0.35">
      <c r="A16" s="12" t="s">
        <v>13</v>
      </c>
      <c r="B16" s="13">
        <v>294627.93</v>
      </c>
      <c r="C16" s="13">
        <v>53378.720000000001</v>
      </c>
      <c r="D16" s="13">
        <f>104537.2-281.59-69334.89</f>
        <v>34920.720000000001</v>
      </c>
      <c r="E16" s="13">
        <v>54401.71</v>
      </c>
      <c r="F16" s="13"/>
      <c r="G16" s="13"/>
      <c r="H16" s="13"/>
      <c r="I16" s="13"/>
      <c r="J16" s="13"/>
      <c r="K16" s="13"/>
      <c r="L16" s="13"/>
      <c r="M16" s="13"/>
      <c r="N16" s="13">
        <f t="shared" si="3"/>
        <v>437329.08</v>
      </c>
    </row>
    <row r="17" spans="1:14" s="14" customFormat="1" ht="16.5" customHeight="1" x14ac:dyDescent="0.35">
      <c r="A17" s="12" t="s">
        <v>14</v>
      </c>
      <c r="B17" s="13"/>
      <c r="C17" s="13">
        <v>603.91999999999996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>
        <f t="shared" si="3"/>
        <v>603.91999999999996</v>
      </c>
    </row>
    <row r="18" spans="1:14" s="14" customFormat="1" ht="16.5" customHeight="1" x14ac:dyDescent="0.35">
      <c r="A18" s="15" t="s">
        <v>15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>
        <f t="shared" si="3"/>
        <v>0</v>
      </c>
    </row>
    <row r="19" spans="1:14" s="14" customFormat="1" ht="16.5" customHeight="1" x14ac:dyDescent="0.35">
      <c r="A19" s="15" t="s">
        <v>16</v>
      </c>
      <c r="B19" s="13">
        <f>23476.75+158807.52-B36-58.5+36.66</f>
        <v>182262.43</v>
      </c>
      <c r="C19" s="13">
        <f>0-C36+2099.85</f>
        <v>2099.85</v>
      </c>
      <c r="D19" s="13">
        <f t="shared" ref="D19:M19" si="4">0-D36</f>
        <v>0</v>
      </c>
      <c r="E19" s="13">
        <f t="shared" si="4"/>
        <v>0</v>
      </c>
      <c r="F19" s="13">
        <f t="shared" si="4"/>
        <v>0</v>
      </c>
      <c r="G19" s="13">
        <f t="shared" si="4"/>
        <v>0</v>
      </c>
      <c r="H19" s="13">
        <f t="shared" si="4"/>
        <v>0</v>
      </c>
      <c r="I19" s="13">
        <f t="shared" si="4"/>
        <v>0</v>
      </c>
      <c r="J19" s="13">
        <f t="shared" si="4"/>
        <v>0</v>
      </c>
      <c r="K19" s="13">
        <f t="shared" si="4"/>
        <v>0</v>
      </c>
      <c r="L19" s="13">
        <f t="shared" si="4"/>
        <v>0</v>
      </c>
      <c r="M19" s="13">
        <f t="shared" si="4"/>
        <v>0</v>
      </c>
      <c r="N19" s="13">
        <f t="shared" si="3"/>
        <v>184362.28</v>
      </c>
    </row>
    <row r="20" spans="1:14" s="14" customFormat="1" ht="16.5" customHeight="1" x14ac:dyDescent="0.35">
      <c r="A20" s="12" t="s">
        <v>17</v>
      </c>
      <c r="B20" s="13">
        <v>607.29999999999995</v>
      </c>
      <c r="C20" s="13">
        <v>293.02</v>
      </c>
      <c r="D20" s="13">
        <v>30.94</v>
      </c>
      <c r="E20" s="13"/>
      <c r="F20" s="13"/>
      <c r="G20" s="13"/>
      <c r="H20" s="13"/>
      <c r="I20" s="13"/>
      <c r="J20" s="13"/>
      <c r="K20" s="13"/>
      <c r="L20" s="13"/>
      <c r="M20" s="13"/>
      <c r="N20" s="13">
        <f t="shared" si="3"/>
        <v>931.26</v>
      </c>
    </row>
    <row r="21" spans="1:14" s="14" customFormat="1" ht="16.5" customHeight="1" x14ac:dyDescent="0.35">
      <c r="A21" s="15" t="s">
        <v>18</v>
      </c>
      <c r="B21" s="13">
        <v>10411.040000000001</v>
      </c>
      <c r="C21" s="13">
        <v>589.9</v>
      </c>
      <c r="D21" s="13">
        <v>3941.48</v>
      </c>
      <c r="E21" s="13"/>
      <c r="F21" s="13"/>
      <c r="G21" s="13"/>
      <c r="H21" s="13"/>
      <c r="I21" s="13"/>
      <c r="J21" s="13"/>
      <c r="K21" s="13"/>
      <c r="L21" s="13"/>
      <c r="M21" s="13"/>
      <c r="N21" s="13">
        <f t="shared" si="3"/>
        <v>14942.42</v>
      </c>
    </row>
    <row r="22" spans="1:14" s="14" customFormat="1" ht="16.5" customHeight="1" x14ac:dyDescent="0.35">
      <c r="A22" s="12" t="s">
        <v>19</v>
      </c>
      <c r="B22" s="13">
        <f>10438.07+5346.43</f>
        <v>15784.5</v>
      </c>
      <c r="C22" s="13">
        <f>2435.24+4103.79</f>
        <v>6539.03</v>
      </c>
      <c r="D22" s="13">
        <v>19583.68</v>
      </c>
      <c r="E22" s="13"/>
      <c r="F22" s="13"/>
      <c r="G22" s="13"/>
      <c r="H22" s="13"/>
      <c r="I22" s="13"/>
      <c r="J22" s="13"/>
      <c r="K22" s="13"/>
      <c r="L22" s="13"/>
      <c r="M22" s="13"/>
      <c r="N22" s="13">
        <f t="shared" si="3"/>
        <v>41907.21</v>
      </c>
    </row>
    <row r="23" spans="1:14" s="14" customFormat="1" ht="16.5" customHeight="1" x14ac:dyDescent="0.35">
      <c r="A23" s="15" t="s">
        <v>20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>
        <f t="shared" si="3"/>
        <v>0</v>
      </c>
    </row>
    <row r="24" spans="1:14" s="14" customFormat="1" ht="16.5" customHeight="1" x14ac:dyDescent="0.35">
      <c r="A24" s="15" t="s">
        <v>21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>
        <f t="shared" si="3"/>
        <v>0</v>
      </c>
    </row>
    <row r="25" spans="1:14" s="14" customFormat="1" ht="16.5" customHeight="1" x14ac:dyDescent="0.35">
      <c r="A25" s="15" t="s">
        <v>22</v>
      </c>
      <c r="B25" s="13">
        <f t="shared" ref="B25:M25" si="5">0-B24</f>
        <v>0</v>
      </c>
      <c r="C25" s="13">
        <f t="shared" si="5"/>
        <v>0</v>
      </c>
      <c r="D25" s="13">
        <f t="shared" si="5"/>
        <v>0</v>
      </c>
      <c r="E25" s="13">
        <f t="shared" si="5"/>
        <v>0</v>
      </c>
      <c r="F25" s="13">
        <f t="shared" si="5"/>
        <v>0</v>
      </c>
      <c r="G25" s="13">
        <f t="shared" si="5"/>
        <v>0</v>
      </c>
      <c r="H25" s="13">
        <f t="shared" si="5"/>
        <v>0</v>
      </c>
      <c r="I25" s="13">
        <f t="shared" si="5"/>
        <v>0</v>
      </c>
      <c r="J25" s="13">
        <f t="shared" si="5"/>
        <v>0</v>
      </c>
      <c r="K25" s="13">
        <f t="shared" si="5"/>
        <v>0</v>
      </c>
      <c r="L25" s="13">
        <f t="shared" si="5"/>
        <v>0</v>
      </c>
      <c r="M25" s="13">
        <f t="shared" si="5"/>
        <v>0</v>
      </c>
      <c r="N25" s="13">
        <f t="shared" si="3"/>
        <v>0</v>
      </c>
    </row>
    <row r="26" spans="1:14" s="14" customFormat="1" ht="16.5" customHeight="1" x14ac:dyDescent="0.35">
      <c r="A26" s="15" t="s">
        <v>23</v>
      </c>
      <c r="B26" s="13">
        <v>1950.02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>
        <f t="shared" si="3"/>
        <v>1950.02</v>
      </c>
    </row>
    <row r="27" spans="1:14" s="14" customFormat="1" ht="16.5" customHeight="1" x14ac:dyDescent="0.35">
      <c r="A27" s="15" t="s">
        <v>24</v>
      </c>
      <c r="B27" s="13">
        <v>4617.45</v>
      </c>
      <c r="C27" s="13">
        <v>2783.14</v>
      </c>
      <c r="D27" s="13">
        <v>4881.03</v>
      </c>
      <c r="E27" s="13"/>
      <c r="F27" s="13"/>
      <c r="G27" s="13"/>
      <c r="H27" s="13"/>
      <c r="I27" s="13"/>
      <c r="J27" s="13"/>
      <c r="K27" s="13"/>
      <c r="L27" s="13"/>
      <c r="M27" s="13"/>
      <c r="N27" s="13">
        <f t="shared" si="3"/>
        <v>12281.619999999999</v>
      </c>
    </row>
    <row r="28" spans="1:14" s="14" customFormat="1" ht="16.5" customHeight="1" x14ac:dyDescent="0.35">
      <c r="A28" s="12" t="s">
        <v>25</v>
      </c>
      <c r="B28" s="13"/>
      <c r="C28" s="13"/>
      <c r="D28" s="13"/>
      <c r="E28" s="20"/>
      <c r="F28" s="13">
        <v>76066.350000000006</v>
      </c>
      <c r="G28" s="13">
        <v>185376.65</v>
      </c>
      <c r="H28" s="13"/>
      <c r="I28" s="13"/>
      <c r="J28" s="13"/>
      <c r="K28" s="13"/>
      <c r="L28" s="13"/>
      <c r="M28" s="13"/>
      <c r="N28" s="13">
        <f t="shared" si="3"/>
        <v>261443</v>
      </c>
    </row>
    <row r="29" spans="1:14" s="14" customFormat="1" ht="16.5" customHeight="1" x14ac:dyDescent="0.35">
      <c r="A29" s="12" t="s">
        <v>26</v>
      </c>
      <c r="B29" s="13">
        <f>2740+44345</f>
        <v>47085</v>
      </c>
      <c r="C29" s="13">
        <v>5902</v>
      </c>
      <c r="D29" s="13">
        <f>11654+36222.92</f>
        <v>47876.92</v>
      </c>
      <c r="E29" s="13"/>
      <c r="F29" s="13"/>
      <c r="G29" s="13"/>
      <c r="H29" s="13"/>
      <c r="I29" s="13"/>
      <c r="J29" s="13"/>
      <c r="K29" s="13"/>
      <c r="L29" s="13"/>
      <c r="M29" s="13"/>
      <c r="N29" s="13">
        <f t="shared" si="3"/>
        <v>100863.92</v>
      </c>
    </row>
    <row r="30" spans="1:14" s="14" customFormat="1" ht="16.5" customHeight="1" x14ac:dyDescent="0.35">
      <c r="A30" s="15" t="s">
        <v>27</v>
      </c>
      <c r="B30" s="13">
        <v>23464.17</v>
      </c>
      <c r="C30" s="13">
        <v>92490.92</v>
      </c>
      <c r="D30" s="13"/>
      <c r="E30" s="13">
        <v>9624.42</v>
      </c>
      <c r="F30" s="13"/>
      <c r="G30" s="13"/>
      <c r="H30" s="13"/>
      <c r="I30" s="13"/>
      <c r="J30" s="13"/>
      <c r="K30" s="13"/>
      <c r="L30" s="13"/>
      <c r="M30" s="13"/>
      <c r="N30" s="13">
        <f t="shared" si="3"/>
        <v>125579.51</v>
      </c>
    </row>
    <row r="31" spans="1:14" s="14" customFormat="1" ht="16.5" customHeight="1" x14ac:dyDescent="0.35">
      <c r="A31" s="15" t="s">
        <v>28</v>
      </c>
      <c r="B31" s="13">
        <v>1231.3499999999999</v>
      </c>
      <c r="C31" s="13">
        <v>53.19</v>
      </c>
      <c r="D31" s="13">
        <v>245.76</v>
      </c>
      <c r="E31" s="13">
        <v>170</v>
      </c>
      <c r="F31" s="13">
        <v>75</v>
      </c>
      <c r="G31" s="13">
        <v>10</v>
      </c>
      <c r="H31" s="13"/>
      <c r="I31" s="13"/>
      <c r="J31" s="13"/>
      <c r="K31" s="13"/>
      <c r="L31" s="13"/>
      <c r="M31" s="13"/>
      <c r="N31" s="13">
        <f t="shared" si="3"/>
        <v>1785.3</v>
      </c>
    </row>
    <row r="32" spans="1:14" s="14" customFormat="1" ht="16.5" customHeight="1" x14ac:dyDescent="0.35">
      <c r="A32" s="12" t="s">
        <v>29</v>
      </c>
      <c r="B32" s="13"/>
      <c r="C32" s="13"/>
      <c r="D32" s="13"/>
      <c r="E32" s="13"/>
      <c r="F32" s="13"/>
      <c r="G32" s="13"/>
      <c r="H32" s="13">
        <v>39054.74</v>
      </c>
      <c r="I32" s="13"/>
      <c r="J32" s="13"/>
      <c r="K32" s="13"/>
      <c r="L32" s="13"/>
      <c r="M32" s="13"/>
      <c r="N32" s="13">
        <f t="shared" si="3"/>
        <v>39054.74</v>
      </c>
    </row>
    <row r="33" spans="1:14" s="14" customFormat="1" ht="16.5" customHeight="1" x14ac:dyDescent="0.35">
      <c r="A33" s="12" t="s">
        <v>30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>
        <f t="shared" si="3"/>
        <v>0</v>
      </c>
    </row>
    <row r="34" spans="1:14" ht="16.5" customHeight="1" x14ac:dyDescent="0.25">
      <c r="F34" s="21"/>
    </row>
    <row r="35" spans="1:14" ht="16.5" customHeight="1" x14ac:dyDescent="0.3">
      <c r="A35" s="18" t="s">
        <v>31</v>
      </c>
      <c r="B35" s="8" t="s">
        <v>4</v>
      </c>
    </row>
    <row r="36" spans="1:14" s="11" customFormat="1" ht="16.5" customHeight="1" x14ac:dyDescent="0.35">
      <c r="A36" s="9" t="s">
        <v>32</v>
      </c>
      <c r="B36" s="10">
        <f t="shared" ref="B36:N36" si="6">SUM(B37:B45)</f>
        <v>0</v>
      </c>
      <c r="C36" s="10">
        <f t="shared" si="6"/>
        <v>0</v>
      </c>
      <c r="D36" s="10">
        <f t="shared" si="6"/>
        <v>0</v>
      </c>
      <c r="E36" s="10">
        <f t="shared" si="6"/>
        <v>0</v>
      </c>
      <c r="F36" s="10">
        <f t="shared" si="6"/>
        <v>0</v>
      </c>
      <c r="G36" s="10">
        <f t="shared" si="6"/>
        <v>0</v>
      </c>
      <c r="H36" s="10">
        <f t="shared" si="6"/>
        <v>0</v>
      </c>
      <c r="I36" s="10">
        <f t="shared" si="6"/>
        <v>0</v>
      </c>
      <c r="J36" s="10">
        <f t="shared" si="6"/>
        <v>0</v>
      </c>
      <c r="K36" s="10">
        <f t="shared" si="6"/>
        <v>0</v>
      </c>
      <c r="L36" s="10">
        <f t="shared" si="6"/>
        <v>0</v>
      </c>
      <c r="M36" s="10">
        <f t="shared" si="6"/>
        <v>0</v>
      </c>
      <c r="N36" s="10">
        <f t="shared" si="6"/>
        <v>0</v>
      </c>
    </row>
    <row r="37" spans="1:14" s="14" customFormat="1" ht="16.5" customHeight="1" x14ac:dyDescent="0.35">
      <c r="A37" s="15" t="s">
        <v>33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/>
      <c r="I37" s="13"/>
      <c r="J37" s="13"/>
      <c r="K37" s="13"/>
      <c r="L37" s="13"/>
      <c r="M37" s="13"/>
      <c r="N37" s="13">
        <f t="shared" ref="N37:N45" si="7">SUM(B37:M37)</f>
        <v>0</v>
      </c>
    </row>
    <row r="38" spans="1:14" s="14" customFormat="1" ht="16.5" customHeight="1" x14ac:dyDescent="0.35">
      <c r="A38" s="15" t="s">
        <v>34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/>
      <c r="I38" s="13"/>
      <c r="J38" s="13"/>
      <c r="K38" s="13"/>
      <c r="L38" s="13"/>
      <c r="M38" s="13"/>
      <c r="N38" s="13">
        <f t="shared" si="7"/>
        <v>0</v>
      </c>
    </row>
    <row r="39" spans="1:14" s="14" customFormat="1" ht="16.5" customHeight="1" x14ac:dyDescent="0.35">
      <c r="A39" s="15" t="s">
        <v>35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/>
      <c r="I39" s="13"/>
      <c r="J39" s="13"/>
      <c r="K39" s="13"/>
      <c r="L39" s="13"/>
      <c r="M39" s="13"/>
      <c r="N39" s="13">
        <f t="shared" si="7"/>
        <v>0</v>
      </c>
    </row>
    <row r="40" spans="1:14" s="14" customFormat="1" ht="16.5" customHeight="1" x14ac:dyDescent="0.35">
      <c r="A40" s="15" t="s">
        <v>36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/>
      <c r="I40" s="13"/>
      <c r="J40" s="13"/>
      <c r="K40" s="13"/>
      <c r="L40" s="13"/>
      <c r="M40" s="13"/>
      <c r="N40" s="13">
        <f t="shared" si="7"/>
        <v>0</v>
      </c>
    </row>
    <row r="41" spans="1:14" s="14" customFormat="1" ht="16.5" customHeight="1" x14ac:dyDescent="0.35">
      <c r="A41" s="15" t="s">
        <v>37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/>
      <c r="I41" s="13"/>
      <c r="J41" s="13"/>
      <c r="K41" s="13"/>
      <c r="L41" s="13"/>
      <c r="M41" s="13"/>
      <c r="N41" s="13">
        <f t="shared" si="7"/>
        <v>0</v>
      </c>
    </row>
    <row r="42" spans="1:14" s="14" customFormat="1" ht="16.5" customHeight="1" x14ac:dyDescent="0.35">
      <c r="A42" s="15" t="s">
        <v>38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/>
      <c r="I42" s="13"/>
      <c r="J42" s="13"/>
      <c r="K42" s="13"/>
      <c r="L42" s="13"/>
      <c r="M42" s="13"/>
      <c r="N42" s="13">
        <f t="shared" si="7"/>
        <v>0</v>
      </c>
    </row>
    <row r="43" spans="1:14" s="14" customFormat="1" ht="16.5" customHeight="1" x14ac:dyDescent="0.35">
      <c r="A43" s="15" t="s">
        <v>39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/>
      <c r="I43" s="13"/>
      <c r="J43" s="13"/>
      <c r="K43" s="13"/>
      <c r="L43" s="13"/>
      <c r="M43" s="13"/>
      <c r="N43" s="13">
        <f t="shared" si="7"/>
        <v>0</v>
      </c>
    </row>
    <row r="44" spans="1:14" s="14" customFormat="1" ht="16.5" customHeight="1" x14ac:dyDescent="0.35">
      <c r="A44" s="15" t="s">
        <v>40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/>
      <c r="I44" s="13"/>
      <c r="J44" s="13"/>
      <c r="K44" s="13"/>
      <c r="L44" s="13"/>
      <c r="M44" s="13"/>
      <c r="N44" s="13">
        <f t="shared" si="7"/>
        <v>0</v>
      </c>
    </row>
    <row r="45" spans="1:14" s="14" customFormat="1" ht="16.5" customHeight="1" x14ac:dyDescent="0.35">
      <c r="A45" s="15" t="s">
        <v>41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/>
      <c r="I45" s="13"/>
      <c r="J45" s="13"/>
      <c r="K45" s="13"/>
      <c r="L45" s="13"/>
      <c r="M45" s="13"/>
      <c r="N45" s="13">
        <f t="shared" si="7"/>
        <v>0</v>
      </c>
    </row>
    <row r="46" spans="1:14" ht="16.5" customHeight="1" x14ac:dyDescent="0.3">
      <c r="B46" s="8" t="s">
        <v>4</v>
      </c>
    </row>
    <row r="47" spans="1:14" s="24" customFormat="1" ht="16.5" customHeight="1" x14ac:dyDescent="0.25">
      <c r="A47" s="22" t="s">
        <v>42</v>
      </c>
      <c r="B47" s="23">
        <f t="shared" ref="B47:M47" si="8">+B4+B7-B14-B36</f>
        <v>4175354.09</v>
      </c>
      <c r="C47" s="23">
        <f t="shared" si="8"/>
        <v>2040426.5199999996</v>
      </c>
      <c r="D47" s="23">
        <f t="shared" si="8"/>
        <v>478491.41999999969</v>
      </c>
      <c r="E47" s="23">
        <f t="shared" si="8"/>
        <v>285844.20999999973</v>
      </c>
      <c r="F47" s="23">
        <f t="shared" si="8"/>
        <v>210590.25999999975</v>
      </c>
      <c r="G47" s="23">
        <f t="shared" si="8"/>
        <v>39054.739999999758</v>
      </c>
      <c r="H47" s="23">
        <f t="shared" si="8"/>
        <v>-2.4010660126805305E-10</v>
      </c>
      <c r="I47" s="23">
        <f t="shared" si="8"/>
        <v>-2.4010660126805305E-10</v>
      </c>
      <c r="J47" s="23">
        <f t="shared" si="8"/>
        <v>-2.4010660126805305E-10</v>
      </c>
      <c r="K47" s="23">
        <f t="shared" si="8"/>
        <v>-2.4010660126805305E-10</v>
      </c>
      <c r="L47" s="23">
        <f t="shared" si="8"/>
        <v>-2.4010660126805305E-10</v>
      </c>
      <c r="M47" s="23">
        <f t="shared" si="8"/>
        <v>-2.4010660126805305E-10</v>
      </c>
      <c r="N47" s="23">
        <f>N4+N7-N14-N36</f>
        <v>-1.862645149230957E-9</v>
      </c>
    </row>
    <row r="48" spans="1:14" ht="16.5" customHeight="1" x14ac:dyDescent="0.25">
      <c r="B48" s="25">
        <v>4175354.09</v>
      </c>
      <c r="C48" s="25">
        <v>2040426.52</v>
      </c>
      <c r="D48" s="25">
        <v>478491.42</v>
      </c>
      <c r="E48" s="25">
        <v>285844.21000000002</v>
      </c>
      <c r="F48" s="25">
        <v>210590.26</v>
      </c>
      <c r="G48" s="25">
        <v>39054.74</v>
      </c>
      <c r="H48" s="25">
        <v>0</v>
      </c>
      <c r="I48" s="25">
        <v>0</v>
      </c>
      <c r="J48" s="25"/>
      <c r="K48" s="25"/>
      <c r="L48" s="25"/>
      <c r="M48" s="25"/>
      <c r="N48" s="25">
        <f>M48</f>
        <v>0</v>
      </c>
    </row>
    <row r="49" spans="1:14" ht="16.5" customHeight="1" x14ac:dyDescent="0.25">
      <c r="B49" s="26">
        <f t="shared" ref="B49:N49" si="9">+B47-B48</f>
        <v>0</v>
      </c>
      <c r="C49" s="26">
        <f t="shared" si="9"/>
        <v>0</v>
      </c>
      <c r="D49" s="26">
        <f t="shared" si="9"/>
        <v>0</v>
      </c>
      <c r="E49" s="26">
        <f t="shared" si="9"/>
        <v>0</v>
      </c>
      <c r="F49" s="26">
        <f t="shared" si="9"/>
        <v>-2.6193447411060333E-10</v>
      </c>
      <c r="G49" s="26">
        <f t="shared" si="9"/>
        <v>-2.4010660126805305E-10</v>
      </c>
      <c r="H49" s="26">
        <f t="shared" si="9"/>
        <v>-2.4010660126805305E-10</v>
      </c>
      <c r="I49" s="26">
        <f t="shared" si="9"/>
        <v>-2.4010660126805305E-10</v>
      </c>
      <c r="J49" s="26">
        <f t="shared" si="9"/>
        <v>-2.4010660126805305E-10</v>
      </c>
      <c r="K49" s="26">
        <f t="shared" si="9"/>
        <v>-2.4010660126805305E-10</v>
      </c>
      <c r="L49" s="26">
        <f t="shared" si="9"/>
        <v>-2.4010660126805305E-10</v>
      </c>
      <c r="M49" s="26">
        <f t="shared" si="9"/>
        <v>-2.4010660126805305E-10</v>
      </c>
      <c r="N49" s="26">
        <f t="shared" si="9"/>
        <v>-1.862645149230957E-9</v>
      </c>
    </row>
    <row r="50" spans="1:14" ht="16.5" customHeight="1" x14ac:dyDescent="0.25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1:14" ht="16.5" customHeight="1" x14ac:dyDescent="0.25"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14" ht="16.5" customHeight="1" x14ac:dyDescent="0.25"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1:14" ht="16.5" customHeight="1" x14ac:dyDescent="0.25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1:14" ht="16.5" customHeight="1" x14ac:dyDescent="0.25">
      <c r="A54" s="27"/>
      <c r="B54" s="26"/>
      <c r="C54" s="28"/>
      <c r="D54" s="28"/>
      <c r="E54" s="28"/>
      <c r="F54" s="26"/>
    </row>
    <row r="55" spans="1:14" ht="16.5" customHeight="1" x14ac:dyDescent="0.35">
      <c r="A55" s="29" t="s">
        <v>43</v>
      </c>
      <c r="C55" s="30" t="s">
        <v>44</v>
      </c>
      <c r="E55" s="30"/>
      <c r="H55" s="31"/>
    </row>
    <row r="56" spans="1:14" ht="16.5" customHeight="1" x14ac:dyDescent="0.35">
      <c r="A56" s="30" t="s">
        <v>45</v>
      </c>
      <c r="C56" s="30" t="s">
        <v>46</v>
      </c>
      <c r="E56" s="30"/>
    </row>
    <row r="57" spans="1:14" ht="16.5" customHeight="1" x14ac:dyDescent="0.25">
      <c r="F57" s="32"/>
    </row>
    <row r="58" spans="1:14" ht="16.5" customHeight="1" x14ac:dyDescent="0.25">
      <c r="F58" s="32"/>
    </row>
    <row r="59" spans="1:14" ht="16.5" customHeight="1" x14ac:dyDescent="0.25">
      <c r="F59" s="32"/>
    </row>
    <row r="60" spans="1:14" ht="16.5" customHeight="1" x14ac:dyDescent="0.25">
      <c r="F60" s="32"/>
    </row>
    <row r="61" spans="1:14" ht="16.5" customHeight="1" x14ac:dyDescent="0.25">
      <c r="F61" s="32"/>
    </row>
    <row r="62" spans="1:14" ht="16.5" customHeight="1" x14ac:dyDescent="0.25">
      <c r="F62" s="32"/>
    </row>
    <row r="63" spans="1:14" ht="16.5" customHeight="1" x14ac:dyDescent="0.25">
      <c r="F63" s="32"/>
    </row>
    <row r="64" spans="1:14" ht="16.5" customHeight="1" x14ac:dyDescent="0.25">
      <c r="F64" s="32"/>
    </row>
    <row r="65" spans="6:6" ht="16.5" customHeight="1" x14ac:dyDescent="0.25">
      <c r="F65" s="32"/>
    </row>
    <row r="66" spans="6:6" ht="16.5" customHeight="1" x14ac:dyDescent="0.25">
      <c r="F66" s="32"/>
    </row>
    <row r="67" spans="6:6" ht="16.5" customHeight="1" x14ac:dyDescent="0.25">
      <c r="F67" s="32"/>
    </row>
    <row r="68" spans="6:6" ht="16.5" customHeight="1" x14ac:dyDescent="0.25">
      <c r="F68" s="32"/>
    </row>
    <row r="69" spans="6:6" ht="16.5" customHeight="1" x14ac:dyDescent="0.25">
      <c r="F69" s="32"/>
    </row>
    <row r="70" spans="6:6" ht="16.5" customHeight="1" x14ac:dyDescent="0.25">
      <c r="F70" s="32"/>
    </row>
    <row r="71" spans="6:6" ht="16.5" customHeight="1" x14ac:dyDescent="0.25">
      <c r="F71" s="32"/>
    </row>
    <row r="72" spans="6:6" ht="16.5" customHeight="1" x14ac:dyDescent="0.25">
      <c r="F72" s="32"/>
    </row>
    <row r="73" spans="6:6" ht="16.5" customHeight="1" x14ac:dyDescent="0.25">
      <c r="F73" s="32"/>
    </row>
    <row r="74" spans="6:6" ht="16.5" customHeight="1" x14ac:dyDescent="0.25">
      <c r="F74" s="32"/>
    </row>
    <row r="75" spans="6:6" ht="16.5" customHeight="1" x14ac:dyDescent="0.25">
      <c r="F75" s="32"/>
    </row>
    <row r="76" spans="6:6" ht="16.5" customHeight="1" x14ac:dyDescent="0.25">
      <c r="F76" s="32"/>
    </row>
    <row r="77" spans="6:6" ht="16.5" customHeight="1" x14ac:dyDescent="0.25">
      <c r="F77" s="32"/>
    </row>
    <row r="78" spans="6:6" ht="16.5" customHeight="1" x14ac:dyDescent="0.25">
      <c r="F78" s="32"/>
    </row>
    <row r="79" spans="6:6" ht="16.5" customHeight="1" x14ac:dyDescent="0.25">
      <c r="F79" s="32"/>
    </row>
    <row r="80" spans="6:6" ht="16.5" customHeight="1" x14ac:dyDescent="0.25">
      <c r="F80" s="32"/>
    </row>
    <row r="81" spans="6:6" ht="16.5" customHeight="1" x14ac:dyDescent="0.25">
      <c r="F81" s="32"/>
    </row>
    <row r="82" spans="6:6" ht="16.5" customHeight="1" x14ac:dyDescent="0.25">
      <c r="F82" s="32"/>
    </row>
    <row r="83" spans="6:6" ht="16.5" customHeight="1" x14ac:dyDescent="0.25">
      <c r="F83" s="32"/>
    </row>
    <row r="84" spans="6:6" ht="16.5" customHeight="1" x14ac:dyDescent="0.25">
      <c r="F84" s="32"/>
    </row>
    <row r="85" spans="6:6" ht="16.5" customHeight="1" x14ac:dyDescent="0.25">
      <c r="F85" s="32"/>
    </row>
    <row r="86" spans="6:6" ht="16.5" customHeight="1" x14ac:dyDescent="0.25">
      <c r="F86" s="32"/>
    </row>
    <row r="87" spans="6:6" ht="16.5" customHeight="1" x14ac:dyDescent="0.25">
      <c r="F87" s="32"/>
    </row>
    <row r="88" spans="6:6" ht="16.5" customHeight="1" x14ac:dyDescent="0.25">
      <c r="F88" s="32"/>
    </row>
    <row r="89" spans="6:6" ht="16.5" customHeight="1" x14ac:dyDescent="0.25">
      <c r="F89" s="32"/>
    </row>
  </sheetData>
  <mergeCells count="1">
    <mergeCell ref="B1:N1"/>
  </mergeCells>
  <printOptions horizontalCentered="1"/>
  <pageMargins left="0.15763888888888899" right="0.27569444444444402" top="0.35416666666666702" bottom="0.35416666666666702" header="0.511811023622047" footer="0.511811023622047"/>
  <pageSetup paperSize="9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MJ87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796875" defaultRowHeight="12.5" x14ac:dyDescent="0.25"/>
  <cols>
    <col min="1" max="1" width="58.7265625" style="1" customWidth="1"/>
    <col min="2" max="2" width="15" style="1" customWidth="1"/>
    <col min="3" max="13" width="15.1796875" style="1" customWidth="1"/>
    <col min="14" max="14" width="20" style="1" customWidth="1"/>
    <col min="15" max="1024" width="9.1796875" style="1"/>
  </cols>
  <sheetData>
    <row r="1" spans="1:14" ht="67.5" customHeight="1" x14ac:dyDescent="0.25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67.5" customHeight="1" x14ac:dyDescent="0.25"/>
    <row r="3" spans="1:14" ht="16.5" customHeight="1" x14ac:dyDescent="0.35">
      <c r="B3" s="6">
        <v>44562</v>
      </c>
      <c r="C3" s="6">
        <v>44593</v>
      </c>
      <c r="D3" s="6">
        <v>44621</v>
      </c>
      <c r="E3" s="6">
        <v>44652</v>
      </c>
      <c r="F3" s="6">
        <v>44682</v>
      </c>
      <c r="G3" s="6">
        <v>44713</v>
      </c>
      <c r="H3" s="6">
        <v>44743</v>
      </c>
      <c r="I3" s="6">
        <v>44774</v>
      </c>
      <c r="J3" s="6">
        <v>44805</v>
      </c>
      <c r="K3" s="6">
        <v>44835</v>
      </c>
      <c r="L3" s="6">
        <v>44866</v>
      </c>
      <c r="M3" s="6">
        <v>44896</v>
      </c>
      <c r="N3" s="6" t="s">
        <v>47</v>
      </c>
    </row>
    <row r="4" spans="1:14" ht="16.5" customHeight="1" x14ac:dyDescent="0.3">
      <c r="A4" s="33" t="s">
        <v>48</v>
      </c>
      <c r="B4" s="34">
        <f>'Quadrimestral Guri'!B4</f>
        <v>8494248.1899999995</v>
      </c>
      <c r="C4" s="34">
        <f t="shared" ref="C4:M4" si="0">B45</f>
        <v>4175354.09</v>
      </c>
      <c r="D4" s="34">
        <f t="shared" si="0"/>
        <v>2040426.5199999996</v>
      </c>
      <c r="E4" s="34">
        <f t="shared" si="0"/>
        <v>478491.41999999969</v>
      </c>
      <c r="F4" s="34">
        <f t="shared" si="0"/>
        <v>285844.20999999973</v>
      </c>
      <c r="G4" s="34">
        <f t="shared" si="0"/>
        <v>210590.25999999975</v>
      </c>
      <c r="H4" s="34">
        <f t="shared" si="0"/>
        <v>39054.739999999758</v>
      </c>
      <c r="I4" s="34">
        <f t="shared" si="0"/>
        <v>-2.4010660126805305E-10</v>
      </c>
      <c r="J4" s="34">
        <f t="shared" si="0"/>
        <v>-2.4010660126805305E-10</v>
      </c>
      <c r="K4" s="34">
        <f t="shared" si="0"/>
        <v>-2.4010660126805305E-10</v>
      </c>
      <c r="L4" s="34">
        <f t="shared" si="0"/>
        <v>-2.4010660126805305E-10</v>
      </c>
      <c r="M4" s="34">
        <f t="shared" si="0"/>
        <v>-2.4010660126805305E-10</v>
      </c>
      <c r="N4" s="34">
        <f>B4</f>
        <v>8494248.1899999995</v>
      </c>
    </row>
    <row r="5" spans="1:14" ht="16.5" customHeight="1" x14ac:dyDescent="0.3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6.5" customHeight="1" x14ac:dyDescent="0.3">
      <c r="A6" s="35" t="s">
        <v>49</v>
      </c>
      <c r="B6" s="8" t="s">
        <v>4</v>
      </c>
    </row>
    <row r="7" spans="1:14" s="11" customFormat="1" ht="16.5" customHeight="1" x14ac:dyDescent="0.35">
      <c r="A7" s="9" t="s">
        <v>50</v>
      </c>
      <c r="B7" s="10">
        <f t="shared" ref="B7:M7" si="1">SUM(B8:B11)</f>
        <v>49219.76</v>
      </c>
      <c r="C7" s="10">
        <f t="shared" si="1"/>
        <v>24385.35</v>
      </c>
      <c r="D7" s="10">
        <f t="shared" si="1"/>
        <v>13292.52</v>
      </c>
      <c r="E7" s="10">
        <f t="shared" si="1"/>
        <v>2868.32</v>
      </c>
      <c r="F7" s="10">
        <f t="shared" si="1"/>
        <v>887.4</v>
      </c>
      <c r="G7" s="10">
        <f t="shared" si="1"/>
        <v>13851.13</v>
      </c>
      <c r="H7" s="10">
        <f t="shared" si="1"/>
        <v>0</v>
      </c>
      <c r="I7" s="10">
        <f t="shared" si="1"/>
        <v>0</v>
      </c>
      <c r="J7" s="10">
        <f t="shared" si="1"/>
        <v>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0">
        <f>SUM(B7:M7)</f>
        <v>104504.48000000001</v>
      </c>
    </row>
    <row r="8" spans="1:14" s="14" customFormat="1" ht="16.5" customHeight="1" x14ac:dyDescent="0.35">
      <c r="A8" s="12" t="s">
        <v>6</v>
      </c>
      <c r="B8" s="13">
        <f>'Quadrimestral Guri'!B8</f>
        <v>0</v>
      </c>
      <c r="C8" s="13">
        <f>'Quadrimestral Guri'!C8</f>
        <v>0</v>
      </c>
      <c r="D8" s="13">
        <f>'Quadrimestral Guri'!D8</f>
        <v>0</v>
      </c>
      <c r="E8" s="13">
        <f>'Quadrimestral Guri'!E8</f>
        <v>0</v>
      </c>
      <c r="F8" s="13">
        <f>'Quadrimestral Guri'!F8</f>
        <v>0</v>
      </c>
      <c r="G8" s="13">
        <f>'Quadrimestral Guri'!G8</f>
        <v>12153.58</v>
      </c>
      <c r="H8" s="13">
        <f>'Quadrimestral Guri'!H8</f>
        <v>0</v>
      </c>
      <c r="I8" s="13">
        <f>'Quadrimestral Guri'!I8</f>
        <v>0</v>
      </c>
      <c r="J8" s="13">
        <f>'Quadrimestral Guri'!J8</f>
        <v>0</v>
      </c>
      <c r="K8" s="13">
        <f>'Quadrimestral Guri'!K8</f>
        <v>0</v>
      </c>
      <c r="L8" s="13">
        <f>'Quadrimestral Guri'!L8</f>
        <v>0</v>
      </c>
      <c r="M8" s="13">
        <f>'Quadrimestral Guri'!M8</f>
        <v>0</v>
      </c>
      <c r="N8" s="13">
        <f>SUM(B8:M8)</f>
        <v>12153.58</v>
      </c>
    </row>
    <row r="9" spans="1:14" s="14" customFormat="1" ht="16.5" customHeight="1" x14ac:dyDescent="0.35">
      <c r="A9" s="12" t="s">
        <v>51</v>
      </c>
      <c r="B9" s="13">
        <f>'Quadrimestral Guri'!B9</f>
        <v>49219.76</v>
      </c>
      <c r="C9" s="13">
        <f>'Quadrimestral Guri'!C9</f>
        <v>24385.35</v>
      </c>
      <c r="D9" s="13">
        <f>'Quadrimestral Guri'!D9</f>
        <v>13292.52</v>
      </c>
      <c r="E9" s="13">
        <f>'Quadrimestral Guri'!E9</f>
        <v>2868.32</v>
      </c>
      <c r="F9" s="13">
        <f>'Quadrimestral Guri'!F9</f>
        <v>887.4</v>
      </c>
      <c r="G9" s="13">
        <f>'Quadrimestral Guri'!G9</f>
        <v>1697.55</v>
      </c>
      <c r="H9" s="13">
        <f>'Quadrimestral Guri'!H9</f>
        <v>0</v>
      </c>
      <c r="I9" s="13">
        <f>'Quadrimestral Guri'!I9</f>
        <v>0</v>
      </c>
      <c r="J9" s="13">
        <f>'Quadrimestral Guri'!J9</f>
        <v>0</v>
      </c>
      <c r="K9" s="13">
        <f>'Quadrimestral Guri'!K9</f>
        <v>0</v>
      </c>
      <c r="L9" s="13">
        <f>'Quadrimestral Guri'!L9</f>
        <v>0</v>
      </c>
      <c r="M9" s="13">
        <f>'Quadrimestral Guri'!M9</f>
        <v>0</v>
      </c>
      <c r="N9" s="13">
        <f>SUM(B9:M9)</f>
        <v>92350.900000000009</v>
      </c>
    </row>
    <row r="10" spans="1:14" s="14" customFormat="1" ht="16.5" customHeight="1" x14ac:dyDescent="0.35">
      <c r="A10" s="12" t="s">
        <v>52</v>
      </c>
      <c r="B10" s="13">
        <f>'Quadrimestral Guri'!B10</f>
        <v>0</v>
      </c>
      <c r="C10" s="13">
        <f>'Quadrimestral Guri'!C10</f>
        <v>0</v>
      </c>
      <c r="D10" s="13">
        <f>'Quadrimestral Guri'!D10</f>
        <v>0</v>
      </c>
      <c r="E10" s="13">
        <f>'Quadrimestral Guri'!E10</f>
        <v>0</v>
      </c>
      <c r="F10" s="13">
        <f>'Quadrimestral Guri'!F10</f>
        <v>0</v>
      </c>
      <c r="G10" s="13">
        <f>'Quadrimestral Guri'!G10</f>
        <v>0</v>
      </c>
      <c r="H10" s="13">
        <f>'Quadrimestral Guri'!H10</f>
        <v>0</v>
      </c>
      <c r="I10" s="13">
        <f>'Quadrimestral Guri'!I10</f>
        <v>0</v>
      </c>
      <c r="J10" s="13">
        <f>'Quadrimestral Guri'!J10</f>
        <v>0</v>
      </c>
      <c r="K10" s="13">
        <f>'Quadrimestral Guri'!K10</f>
        <v>0</v>
      </c>
      <c r="L10" s="13">
        <f>'Quadrimestral Guri'!L10</f>
        <v>0</v>
      </c>
      <c r="M10" s="13">
        <f>'Quadrimestral Guri'!M10</f>
        <v>0</v>
      </c>
      <c r="N10" s="13">
        <f>SUM(B10:M10)</f>
        <v>0</v>
      </c>
    </row>
    <row r="11" spans="1:14" s="14" customFormat="1" ht="16.5" customHeight="1" x14ac:dyDescent="0.35">
      <c r="A11" s="12" t="s">
        <v>53</v>
      </c>
      <c r="B11" s="13">
        <f>'Quadrimestral Guri'!B11</f>
        <v>0</v>
      </c>
      <c r="C11" s="13">
        <f>'Quadrimestral Guri'!C11</f>
        <v>0</v>
      </c>
      <c r="D11" s="13">
        <f>'Quadrimestral Guri'!D11</f>
        <v>0</v>
      </c>
      <c r="E11" s="13">
        <f>'Quadrimestral Guri'!E11</f>
        <v>0</v>
      </c>
      <c r="F11" s="13">
        <f>'Quadrimestral Guri'!F11</f>
        <v>0</v>
      </c>
      <c r="G11" s="13">
        <f>'Quadrimestral Guri'!G11</f>
        <v>0</v>
      </c>
      <c r="H11" s="13">
        <f>'Quadrimestral Guri'!H11</f>
        <v>0</v>
      </c>
      <c r="I11" s="13">
        <f>'Quadrimestral Guri'!I11</f>
        <v>0</v>
      </c>
      <c r="J11" s="13">
        <f>'Quadrimestral Guri'!J11</f>
        <v>0</v>
      </c>
      <c r="K11" s="13">
        <f>'Quadrimestral Guri'!K11</f>
        <v>0</v>
      </c>
      <c r="L11" s="13">
        <f>'Quadrimestral Guri'!L11</f>
        <v>0</v>
      </c>
      <c r="M11" s="13">
        <f>'Quadrimestral Guri'!M11</f>
        <v>0</v>
      </c>
      <c r="N11" s="13">
        <f>SUM(B11:M11)</f>
        <v>0</v>
      </c>
    </row>
    <row r="12" spans="1:14" ht="16.5" customHeight="1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ht="16.5" customHeight="1" x14ac:dyDescent="0.3">
      <c r="A13" s="35" t="s">
        <v>54</v>
      </c>
      <c r="B13" s="8" t="s">
        <v>4</v>
      </c>
    </row>
    <row r="14" spans="1:14" s="11" customFormat="1" ht="16.5" customHeight="1" x14ac:dyDescent="0.35">
      <c r="A14" s="9" t="s">
        <v>55</v>
      </c>
      <c r="B14" s="19">
        <f t="shared" ref="B14:M14" si="2">SUM(B15:B43)</f>
        <v>4368113.8599999994</v>
      </c>
      <c r="C14" s="19">
        <f t="shared" si="2"/>
        <v>2159312.92</v>
      </c>
      <c r="D14" s="19">
        <f t="shared" si="2"/>
        <v>1575227.6199999999</v>
      </c>
      <c r="E14" s="19">
        <f t="shared" si="2"/>
        <v>195515.53</v>
      </c>
      <c r="F14" s="19">
        <f t="shared" si="2"/>
        <v>76141.350000000006</v>
      </c>
      <c r="G14" s="19">
        <f t="shared" si="2"/>
        <v>185386.65</v>
      </c>
      <c r="H14" s="19">
        <f t="shared" si="2"/>
        <v>39054.74</v>
      </c>
      <c r="I14" s="19">
        <f t="shared" si="2"/>
        <v>0</v>
      </c>
      <c r="J14" s="19">
        <f t="shared" si="2"/>
        <v>0</v>
      </c>
      <c r="K14" s="19">
        <f t="shared" si="2"/>
        <v>0</v>
      </c>
      <c r="L14" s="19">
        <f t="shared" si="2"/>
        <v>0</v>
      </c>
      <c r="M14" s="19">
        <f t="shared" si="2"/>
        <v>0</v>
      </c>
      <c r="N14" s="19">
        <f t="shared" ref="N14:N33" si="3">SUM(B14:M14)</f>
        <v>8598752.6699999999</v>
      </c>
    </row>
    <row r="15" spans="1:14" s="14" customFormat="1" ht="16.5" customHeight="1" x14ac:dyDescent="0.35">
      <c r="A15" s="15" t="s">
        <v>12</v>
      </c>
      <c r="B15" s="13">
        <f>'Quadrimestral Guri'!B15</f>
        <v>3786072.67</v>
      </c>
      <c r="C15" s="13">
        <f>'Quadrimestral Guri'!C15</f>
        <v>1994579.23</v>
      </c>
      <c r="D15" s="13">
        <f>'Quadrimestral Guri'!D15</f>
        <v>1463747.09</v>
      </c>
      <c r="E15" s="13">
        <f>'Quadrimestral Guri'!E15</f>
        <v>131319.4</v>
      </c>
      <c r="F15" s="13">
        <f>'Quadrimestral Guri'!F15</f>
        <v>0</v>
      </c>
      <c r="G15" s="13">
        <f>'Quadrimestral Guri'!G15</f>
        <v>0</v>
      </c>
      <c r="H15" s="13">
        <f>'Quadrimestral Guri'!H15</f>
        <v>0</v>
      </c>
      <c r="I15" s="13">
        <f>'Quadrimestral Guri'!I15</f>
        <v>0</v>
      </c>
      <c r="J15" s="13">
        <f>'Quadrimestral Guri'!J15</f>
        <v>0</v>
      </c>
      <c r="K15" s="13">
        <f>'Quadrimestral Guri'!K15</f>
        <v>0</v>
      </c>
      <c r="L15" s="13">
        <f>'Quadrimestral Guri'!L15</f>
        <v>0</v>
      </c>
      <c r="M15" s="13">
        <f>'Quadrimestral Guri'!M15</f>
        <v>0</v>
      </c>
      <c r="N15" s="13">
        <f t="shared" si="3"/>
        <v>7375718.3900000006</v>
      </c>
    </row>
    <row r="16" spans="1:14" s="14" customFormat="1" ht="16.5" customHeight="1" x14ac:dyDescent="0.35">
      <c r="A16" s="12" t="s">
        <v>13</v>
      </c>
      <c r="B16" s="13">
        <f>'Quadrimestral Guri'!B16</f>
        <v>294627.93</v>
      </c>
      <c r="C16" s="13">
        <f>'Quadrimestral Guri'!C16</f>
        <v>53378.720000000001</v>
      </c>
      <c r="D16" s="13">
        <f>'Quadrimestral Guri'!D16</f>
        <v>34920.720000000001</v>
      </c>
      <c r="E16" s="13">
        <f>'Quadrimestral Guri'!E16</f>
        <v>54401.71</v>
      </c>
      <c r="F16" s="13">
        <f>'Quadrimestral Guri'!F16</f>
        <v>0</v>
      </c>
      <c r="G16" s="13">
        <f>'Quadrimestral Guri'!G16</f>
        <v>0</v>
      </c>
      <c r="H16" s="13">
        <f>'Quadrimestral Guri'!H16</f>
        <v>0</v>
      </c>
      <c r="I16" s="13">
        <f>'Quadrimestral Guri'!I16</f>
        <v>0</v>
      </c>
      <c r="J16" s="13">
        <f>'Quadrimestral Guri'!J16</f>
        <v>0</v>
      </c>
      <c r="K16" s="13">
        <f>'Quadrimestral Guri'!K16</f>
        <v>0</v>
      </c>
      <c r="L16" s="13">
        <f>'Quadrimestral Guri'!L16</f>
        <v>0</v>
      </c>
      <c r="M16" s="13">
        <f>'Quadrimestral Guri'!M16</f>
        <v>0</v>
      </c>
      <c r="N16" s="13">
        <f t="shared" si="3"/>
        <v>437329.08</v>
      </c>
    </row>
    <row r="17" spans="1:14" s="14" customFormat="1" ht="16.5" customHeight="1" x14ac:dyDescent="0.35">
      <c r="A17" s="12" t="s">
        <v>14</v>
      </c>
      <c r="B17" s="13">
        <f>'Quadrimestral Guri'!B17</f>
        <v>0</v>
      </c>
      <c r="C17" s="13">
        <f>'Quadrimestral Guri'!C17</f>
        <v>603.91999999999996</v>
      </c>
      <c r="D17" s="13">
        <f>'Quadrimestral Guri'!D17</f>
        <v>0</v>
      </c>
      <c r="E17" s="13">
        <f>'Quadrimestral Guri'!E17</f>
        <v>0</v>
      </c>
      <c r="F17" s="13">
        <f>'Quadrimestral Guri'!F17</f>
        <v>0</v>
      </c>
      <c r="G17" s="13">
        <f>'Quadrimestral Guri'!G17</f>
        <v>0</v>
      </c>
      <c r="H17" s="13">
        <f>'Quadrimestral Guri'!H17</f>
        <v>0</v>
      </c>
      <c r="I17" s="13">
        <f>'Quadrimestral Guri'!I17</f>
        <v>0</v>
      </c>
      <c r="J17" s="13">
        <f>'Quadrimestral Guri'!J17</f>
        <v>0</v>
      </c>
      <c r="K17" s="13">
        <f>'Quadrimestral Guri'!K17</f>
        <v>0</v>
      </c>
      <c r="L17" s="13">
        <f>'Quadrimestral Guri'!L17</f>
        <v>0</v>
      </c>
      <c r="M17" s="13">
        <f>'Quadrimestral Guri'!M17</f>
        <v>0</v>
      </c>
      <c r="N17" s="13">
        <f t="shared" si="3"/>
        <v>603.91999999999996</v>
      </c>
    </row>
    <row r="18" spans="1:14" s="14" customFormat="1" ht="16.5" customHeight="1" x14ac:dyDescent="0.35">
      <c r="A18" s="15" t="s">
        <v>15</v>
      </c>
      <c r="B18" s="13">
        <f>'Quadrimestral Guri'!B18</f>
        <v>0</v>
      </c>
      <c r="C18" s="13">
        <f>'Quadrimestral Guri'!C18</f>
        <v>0</v>
      </c>
      <c r="D18" s="13">
        <f>'Quadrimestral Guri'!D18</f>
        <v>0</v>
      </c>
      <c r="E18" s="13">
        <f>'Quadrimestral Guri'!E18</f>
        <v>0</v>
      </c>
      <c r="F18" s="13">
        <f>'Quadrimestral Guri'!F18</f>
        <v>0</v>
      </c>
      <c r="G18" s="13">
        <f>'Quadrimestral Guri'!G18</f>
        <v>0</v>
      </c>
      <c r="H18" s="13">
        <f>'Quadrimestral Guri'!H18</f>
        <v>0</v>
      </c>
      <c r="I18" s="13">
        <f>'Quadrimestral Guri'!I18</f>
        <v>0</v>
      </c>
      <c r="J18" s="13">
        <f>'Quadrimestral Guri'!J18</f>
        <v>0</v>
      </c>
      <c r="K18" s="13">
        <f>'Quadrimestral Guri'!K18</f>
        <v>0</v>
      </c>
      <c r="L18" s="13">
        <f>'Quadrimestral Guri'!L18</f>
        <v>0</v>
      </c>
      <c r="M18" s="13">
        <f>'Quadrimestral Guri'!M18</f>
        <v>0</v>
      </c>
      <c r="N18" s="13">
        <f t="shared" si="3"/>
        <v>0</v>
      </c>
    </row>
    <row r="19" spans="1:14" s="14" customFormat="1" ht="16.5" customHeight="1" x14ac:dyDescent="0.35">
      <c r="A19" s="15" t="s">
        <v>16</v>
      </c>
      <c r="B19" s="13">
        <f>'Quadrimestral Guri'!B19</f>
        <v>182262.43</v>
      </c>
      <c r="C19" s="13">
        <f>'Quadrimestral Guri'!C19</f>
        <v>2099.85</v>
      </c>
      <c r="D19" s="13">
        <f>'Quadrimestral Guri'!D19</f>
        <v>0</v>
      </c>
      <c r="E19" s="13">
        <f>'Quadrimestral Guri'!E19</f>
        <v>0</v>
      </c>
      <c r="F19" s="13">
        <f>'Quadrimestral Guri'!F19</f>
        <v>0</v>
      </c>
      <c r="G19" s="13">
        <f>'Quadrimestral Guri'!G19</f>
        <v>0</v>
      </c>
      <c r="H19" s="13">
        <f>'Quadrimestral Guri'!H19</f>
        <v>0</v>
      </c>
      <c r="I19" s="13">
        <f>'Quadrimestral Guri'!I19</f>
        <v>0</v>
      </c>
      <c r="J19" s="13">
        <f>'Quadrimestral Guri'!J19</f>
        <v>0</v>
      </c>
      <c r="K19" s="13">
        <f>'Quadrimestral Guri'!K19</f>
        <v>0</v>
      </c>
      <c r="L19" s="13">
        <f>'Quadrimestral Guri'!L19</f>
        <v>0</v>
      </c>
      <c r="M19" s="13">
        <f>'Quadrimestral Guri'!M19</f>
        <v>0</v>
      </c>
      <c r="N19" s="13">
        <f t="shared" si="3"/>
        <v>184362.28</v>
      </c>
    </row>
    <row r="20" spans="1:14" s="14" customFormat="1" ht="16.5" customHeight="1" x14ac:dyDescent="0.35">
      <c r="A20" s="12" t="s">
        <v>17</v>
      </c>
      <c r="B20" s="13">
        <f>'Quadrimestral Guri'!B20</f>
        <v>607.29999999999995</v>
      </c>
      <c r="C20" s="13">
        <f>'Quadrimestral Guri'!C20</f>
        <v>293.02</v>
      </c>
      <c r="D20" s="13">
        <f>'Quadrimestral Guri'!D20</f>
        <v>30.94</v>
      </c>
      <c r="E20" s="13">
        <f>'Quadrimestral Guri'!E20</f>
        <v>0</v>
      </c>
      <c r="F20" s="13">
        <f>'Quadrimestral Guri'!F20</f>
        <v>0</v>
      </c>
      <c r="G20" s="13">
        <f>'Quadrimestral Guri'!G20</f>
        <v>0</v>
      </c>
      <c r="H20" s="13">
        <f>'Quadrimestral Guri'!H20</f>
        <v>0</v>
      </c>
      <c r="I20" s="13">
        <f>'Quadrimestral Guri'!I20</f>
        <v>0</v>
      </c>
      <c r="J20" s="13">
        <f>'Quadrimestral Guri'!J20</f>
        <v>0</v>
      </c>
      <c r="K20" s="13">
        <f>'Quadrimestral Guri'!K20</f>
        <v>0</v>
      </c>
      <c r="L20" s="13">
        <f>'Quadrimestral Guri'!L20</f>
        <v>0</v>
      </c>
      <c r="M20" s="13">
        <f>'Quadrimestral Guri'!M20</f>
        <v>0</v>
      </c>
      <c r="N20" s="13">
        <f t="shared" si="3"/>
        <v>931.26</v>
      </c>
    </row>
    <row r="21" spans="1:14" s="14" customFormat="1" ht="16.5" customHeight="1" x14ac:dyDescent="0.35">
      <c r="A21" s="15" t="s">
        <v>18</v>
      </c>
      <c r="B21" s="13">
        <f>'Quadrimestral Guri'!B21</f>
        <v>10411.040000000001</v>
      </c>
      <c r="C21" s="13">
        <f>'Quadrimestral Guri'!C21</f>
        <v>589.9</v>
      </c>
      <c r="D21" s="13">
        <f>'Quadrimestral Guri'!D21</f>
        <v>3941.48</v>
      </c>
      <c r="E21" s="13">
        <f>'Quadrimestral Guri'!E21</f>
        <v>0</v>
      </c>
      <c r="F21" s="13">
        <f>'Quadrimestral Guri'!F21</f>
        <v>0</v>
      </c>
      <c r="G21" s="13">
        <f>'Quadrimestral Guri'!G21</f>
        <v>0</v>
      </c>
      <c r="H21" s="13">
        <f>'Quadrimestral Guri'!H21</f>
        <v>0</v>
      </c>
      <c r="I21" s="13">
        <f>'Quadrimestral Guri'!I21</f>
        <v>0</v>
      </c>
      <c r="J21" s="13">
        <f>'Quadrimestral Guri'!J21</f>
        <v>0</v>
      </c>
      <c r="K21" s="13">
        <f>'Quadrimestral Guri'!K21</f>
        <v>0</v>
      </c>
      <c r="L21" s="13">
        <f>'Quadrimestral Guri'!L21</f>
        <v>0</v>
      </c>
      <c r="M21" s="13">
        <f>'Quadrimestral Guri'!M21</f>
        <v>0</v>
      </c>
      <c r="N21" s="13">
        <f t="shared" si="3"/>
        <v>14942.42</v>
      </c>
    </row>
    <row r="22" spans="1:14" s="14" customFormat="1" ht="16.5" customHeight="1" x14ac:dyDescent="0.35">
      <c r="A22" s="12" t="s">
        <v>19</v>
      </c>
      <c r="B22" s="13">
        <f>'Quadrimestral Guri'!B22</f>
        <v>15784.5</v>
      </c>
      <c r="C22" s="13">
        <f>'Quadrimestral Guri'!C22</f>
        <v>6539.03</v>
      </c>
      <c r="D22" s="13">
        <f>'Quadrimestral Guri'!D22</f>
        <v>19583.68</v>
      </c>
      <c r="E22" s="13">
        <f>'Quadrimestral Guri'!E22</f>
        <v>0</v>
      </c>
      <c r="F22" s="13">
        <f>'Quadrimestral Guri'!F22</f>
        <v>0</v>
      </c>
      <c r="G22" s="13">
        <f>'Quadrimestral Guri'!G22</f>
        <v>0</v>
      </c>
      <c r="H22" s="13">
        <f>'Quadrimestral Guri'!H22</f>
        <v>0</v>
      </c>
      <c r="I22" s="13">
        <f>'Quadrimestral Guri'!I22</f>
        <v>0</v>
      </c>
      <c r="J22" s="13">
        <f>'Quadrimestral Guri'!J22</f>
        <v>0</v>
      </c>
      <c r="K22" s="13">
        <f>'Quadrimestral Guri'!K22</f>
        <v>0</v>
      </c>
      <c r="L22" s="13">
        <f>'Quadrimestral Guri'!L22</f>
        <v>0</v>
      </c>
      <c r="M22" s="13">
        <f>'Quadrimestral Guri'!M22</f>
        <v>0</v>
      </c>
      <c r="N22" s="13">
        <f t="shared" si="3"/>
        <v>41907.21</v>
      </c>
    </row>
    <row r="23" spans="1:14" s="14" customFormat="1" ht="16.5" customHeight="1" x14ac:dyDescent="0.35">
      <c r="A23" s="15" t="s">
        <v>20</v>
      </c>
      <c r="B23" s="13">
        <f>'Quadrimestral Guri'!B23</f>
        <v>0</v>
      </c>
      <c r="C23" s="13">
        <f>'Quadrimestral Guri'!C23</f>
        <v>0</v>
      </c>
      <c r="D23" s="13">
        <f>'Quadrimestral Guri'!D23</f>
        <v>0</v>
      </c>
      <c r="E23" s="13">
        <f>'Quadrimestral Guri'!E23</f>
        <v>0</v>
      </c>
      <c r="F23" s="13">
        <f>'Quadrimestral Guri'!F23</f>
        <v>0</v>
      </c>
      <c r="G23" s="13">
        <f>'Quadrimestral Guri'!G23</f>
        <v>0</v>
      </c>
      <c r="H23" s="13">
        <f>'Quadrimestral Guri'!H23</f>
        <v>0</v>
      </c>
      <c r="I23" s="13">
        <f>'Quadrimestral Guri'!I23</f>
        <v>0</v>
      </c>
      <c r="J23" s="13">
        <f>'Quadrimestral Guri'!J23</f>
        <v>0</v>
      </c>
      <c r="K23" s="13">
        <f>'Quadrimestral Guri'!K23</f>
        <v>0</v>
      </c>
      <c r="L23" s="13">
        <f>'Quadrimestral Guri'!L23</f>
        <v>0</v>
      </c>
      <c r="M23" s="13">
        <f>'Quadrimestral Guri'!M23</f>
        <v>0</v>
      </c>
      <c r="N23" s="13">
        <f t="shared" si="3"/>
        <v>0</v>
      </c>
    </row>
    <row r="24" spans="1:14" s="14" customFormat="1" ht="16.5" customHeight="1" x14ac:dyDescent="0.35">
      <c r="A24" s="15" t="s">
        <v>21</v>
      </c>
      <c r="B24" s="13">
        <f>'Quadrimestral Guri'!B24</f>
        <v>0</v>
      </c>
      <c r="C24" s="13">
        <f>'Quadrimestral Guri'!C24</f>
        <v>0</v>
      </c>
      <c r="D24" s="13">
        <f>'Quadrimestral Guri'!D24</f>
        <v>0</v>
      </c>
      <c r="E24" s="13">
        <f>'Quadrimestral Guri'!E24</f>
        <v>0</v>
      </c>
      <c r="F24" s="13">
        <f>'Quadrimestral Guri'!F24</f>
        <v>0</v>
      </c>
      <c r="G24" s="13">
        <f>'Quadrimestral Guri'!G24</f>
        <v>0</v>
      </c>
      <c r="H24" s="13">
        <f>'Quadrimestral Guri'!H24</f>
        <v>0</v>
      </c>
      <c r="I24" s="13">
        <f>'Quadrimestral Guri'!I24</f>
        <v>0</v>
      </c>
      <c r="J24" s="13">
        <f>'Quadrimestral Guri'!J24</f>
        <v>0</v>
      </c>
      <c r="K24" s="13">
        <f>'Quadrimestral Guri'!K24</f>
        <v>0</v>
      </c>
      <c r="L24" s="13">
        <f>'Quadrimestral Guri'!L24</f>
        <v>0</v>
      </c>
      <c r="M24" s="13">
        <f>'Quadrimestral Guri'!M24</f>
        <v>0</v>
      </c>
      <c r="N24" s="13">
        <f t="shared" si="3"/>
        <v>0</v>
      </c>
    </row>
    <row r="25" spans="1:14" s="14" customFormat="1" ht="16.5" customHeight="1" x14ac:dyDescent="0.35">
      <c r="A25" s="15" t="s">
        <v>22</v>
      </c>
      <c r="B25" s="13">
        <f>'Quadrimestral Guri'!B25</f>
        <v>0</v>
      </c>
      <c r="C25" s="13">
        <f>'Quadrimestral Guri'!C25</f>
        <v>0</v>
      </c>
      <c r="D25" s="13">
        <f>'Quadrimestral Guri'!D25</f>
        <v>0</v>
      </c>
      <c r="E25" s="13">
        <f>'Quadrimestral Guri'!E25</f>
        <v>0</v>
      </c>
      <c r="F25" s="13">
        <f>'Quadrimestral Guri'!F25</f>
        <v>0</v>
      </c>
      <c r="G25" s="13">
        <f>'Quadrimestral Guri'!G25</f>
        <v>0</v>
      </c>
      <c r="H25" s="13">
        <f>'Quadrimestral Guri'!H25</f>
        <v>0</v>
      </c>
      <c r="I25" s="13">
        <f>'Quadrimestral Guri'!I25</f>
        <v>0</v>
      </c>
      <c r="J25" s="13">
        <f>'Quadrimestral Guri'!J25</f>
        <v>0</v>
      </c>
      <c r="K25" s="13">
        <f>'Quadrimestral Guri'!K25</f>
        <v>0</v>
      </c>
      <c r="L25" s="13">
        <f>'Quadrimestral Guri'!L25</f>
        <v>0</v>
      </c>
      <c r="M25" s="13">
        <f>'Quadrimestral Guri'!M25</f>
        <v>0</v>
      </c>
      <c r="N25" s="13">
        <f t="shared" si="3"/>
        <v>0</v>
      </c>
    </row>
    <row r="26" spans="1:14" s="14" customFormat="1" ht="16.5" customHeight="1" x14ac:dyDescent="0.35">
      <c r="A26" s="15" t="s">
        <v>23</v>
      </c>
      <c r="B26" s="13">
        <f>'Quadrimestral Guri'!B26</f>
        <v>1950.02</v>
      </c>
      <c r="C26" s="13">
        <f>'Quadrimestral Guri'!C26</f>
        <v>0</v>
      </c>
      <c r="D26" s="13">
        <f>'Quadrimestral Guri'!D26</f>
        <v>0</v>
      </c>
      <c r="E26" s="13">
        <f>'Quadrimestral Guri'!E26</f>
        <v>0</v>
      </c>
      <c r="F26" s="13">
        <f>'Quadrimestral Guri'!F26</f>
        <v>0</v>
      </c>
      <c r="G26" s="13">
        <f>'Quadrimestral Guri'!G26</f>
        <v>0</v>
      </c>
      <c r="H26" s="13">
        <f>'Quadrimestral Guri'!H26</f>
        <v>0</v>
      </c>
      <c r="I26" s="13">
        <f>'Quadrimestral Guri'!I26</f>
        <v>0</v>
      </c>
      <c r="J26" s="13">
        <f>'Quadrimestral Guri'!J26</f>
        <v>0</v>
      </c>
      <c r="K26" s="13">
        <f>'Quadrimestral Guri'!K26</f>
        <v>0</v>
      </c>
      <c r="L26" s="13">
        <f>'Quadrimestral Guri'!L26</f>
        <v>0</v>
      </c>
      <c r="M26" s="13">
        <f>'Quadrimestral Guri'!M26</f>
        <v>0</v>
      </c>
      <c r="N26" s="13">
        <f t="shared" si="3"/>
        <v>1950.02</v>
      </c>
    </row>
    <row r="27" spans="1:14" s="14" customFormat="1" ht="16.5" customHeight="1" x14ac:dyDescent="0.35">
      <c r="A27" s="15" t="s">
        <v>24</v>
      </c>
      <c r="B27" s="13">
        <f>'Quadrimestral Guri'!B27</f>
        <v>4617.45</v>
      </c>
      <c r="C27" s="13">
        <f>'Quadrimestral Guri'!C27</f>
        <v>2783.14</v>
      </c>
      <c r="D27" s="13">
        <f>'Quadrimestral Guri'!D27</f>
        <v>4881.03</v>
      </c>
      <c r="E27" s="13">
        <f>'Quadrimestral Guri'!E27</f>
        <v>0</v>
      </c>
      <c r="F27" s="13">
        <f>'Quadrimestral Guri'!F27</f>
        <v>0</v>
      </c>
      <c r="G27" s="13">
        <f>'Quadrimestral Guri'!G27</f>
        <v>0</v>
      </c>
      <c r="H27" s="13">
        <f>'Quadrimestral Guri'!H27</f>
        <v>0</v>
      </c>
      <c r="I27" s="13">
        <f>'Quadrimestral Guri'!I27</f>
        <v>0</v>
      </c>
      <c r="J27" s="13">
        <f>'Quadrimestral Guri'!J27</f>
        <v>0</v>
      </c>
      <c r="K27" s="13">
        <f>'Quadrimestral Guri'!K27</f>
        <v>0</v>
      </c>
      <c r="L27" s="13">
        <f>'Quadrimestral Guri'!L27</f>
        <v>0</v>
      </c>
      <c r="M27" s="13">
        <f>'Quadrimestral Guri'!M27</f>
        <v>0</v>
      </c>
      <c r="N27" s="13">
        <f t="shared" si="3"/>
        <v>12281.619999999999</v>
      </c>
    </row>
    <row r="28" spans="1:14" s="14" customFormat="1" ht="16.5" customHeight="1" x14ac:dyDescent="0.35">
      <c r="A28" s="12" t="s">
        <v>25</v>
      </c>
      <c r="B28" s="13">
        <f>'Quadrimestral Guri'!B28</f>
        <v>0</v>
      </c>
      <c r="C28" s="13">
        <f>'Quadrimestral Guri'!C28</f>
        <v>0</v>
      </c>
      <c r="D28" s="13">
        <f>'Quadrimestral Guri'!D28</f>
        <v>0</v>
      </c>
      <c r="E28" s="13">
        <f>'Quadrimestral Guri'!E28</f>
        <v>0</v>
      </c>
      <c r="F28" s="13">
        <f>'Quadrimestral Guri'!F28</f>
        <v>76066.350000000006</v>
      </c>
      <c r="G28" s="13">
        <f>'Quadrimestral Guri'!G28</f>
        <v>185376.65</v>
      </c>
      <c r="H28" s="13">
        <f>'Quadrimestral Guri'!H28</f>
        <v>0</v>
      </c>
      <c r="I28" s="13">
        <f>'Quadrimestral Guri'!I28</f>
        <v>0</v>
      </c>
      <c r="J28" s="13">
        <f>'Quadrimestral Guri'!J28</f>
        <v>0</v>
      </c>
      <c r="K28" s="13">
        <f>'Quadrimestral Guri'!K28</f>
        <v>0</v>
      </c>
      <c r="L28" s="13">
        <f>'Quadrimestral Guri'!L28</f>
        <v>0</v>
      </c>
      <c r="M28" s="13">
        <f>'Quadrimestral Guri'!M28</f>
        <v>0</v>
      </c>
      <c r="N28" s="13">
        <f t="shared" si="3"/>
        <v>261443</v>
      </c>
    </row>
    <row r="29" spans="1:14" s="14" customFormat="1" ht="16.5" customHeight="1" x14ac:dyDescent="0.35">
      <c r="A29" s="15" t="s">
        <v>26</v>
      </c>
      <c r="B29" s="13">
        <f>'Quadrimestral Guri'!B29</f>
        <v>47085</v>
      </c>
      <c r="C29" s="13">
        <f>'Quadrimestral Guri'!C29</f>
        <v>5902</v>
      </c>
      <c r="D29" s="13">
        <f>'Quadrimestral Guri'!D29</f>
        <v>47876.92</v>
      </c>
      <c r="E29" s="13">
        <f>'Quadrimestral Guri'!E29</f>
        <v>0</v>
      </c>
      <c r="F29" s="13">
        <f>'Quadrimestral Guri'!F29</f>
        <v>0</v>
      </c>
      <c r="G29" s="13">
        <f>'Quadrimestral Guri'!G29</f>
        <v>0</v>
      </c>
      <c r="H29" s="13">
        <f>'Quadrimestral Guri'!H29</f>
        <v>0</v>
      </c>
      <c r="I29" s="13">
        <f>'Quadrimestral Guri'!I29</f>
        <v>0</v>
      </c>
      <c r="J29" s="13">
        <f>'Quadrimestral Guri'!J29</f>
        <v>0</v>
      </c>
      <c r="K29" s="13">
        <f>'Quadrimestral Guri'!K29</f>
        <v>0</v>
      </c>
      <c r="L29" s="13">
        <f>'Quadrimestral Guri'!L29</f>
        <v>0</v>
      </c>
      <c r="M29" s="13">
        <f>'Quadrimestral Guri'!M29</f>
        <v>0</v>
      </c>
      <c r="N29" s="13">
        <f t="shared" si="3"/>
        <v>100863.92</v>
      </c>
    </row>
    <row r="30" spans="1:14" s="14" customFormat="1" ht="16.5" customHeight="1" x14ac:dyDescent="0.35">
      <c r="A30" s="15" t="s">
        <v>27</v>
      </c>
      <c r="B30" s="13">
        <f>'Quadrimestral Guri'!B30</f>
        <v>23464.17</v>
      </c>
      <c r="C30" s="13">
        <f>'Quadrimestral Guri'!C30</f>
        <v>92490.92</v>
      </c>
      <c r="D30" s="13">
        <f>'Quadrimestral Guri'!D30</f>
        <v>0</v>
      </c>
      <c r="E30" s="13">
        <f>'Quadrimestral Guri'!E30</f>
        <v>9624.42</v>
      </c>
      <c r="F30" s="13">
        <f>'Quadrimestral Guri'!F30</f>
        <v>0</v>
      </c>
      <c r="G30" s="13">
        <f>'Quadrimestral Guri'!G30</f>
        <v>0</v>
      </c>
      <c r="H30" s="13">
        <f>'Quadrimestral Guri'!H30</f>
        <v>0</v>
      </c>
      <c r="I30" s="13">
        <f>'Quadrimestral Guri'!I30</f>
        <v>0</v>
      </c>
      <c r="J30" s="13">
        <f>'Quadrimestral Guri'!J30</f>
        <v>0</v>
      </c>
      <c r="K30" s="13">
        <f>'Quadrimestral Guri'!K30</f>
        <v>0</v>
      </c>
      <c r="L30" s="13">
        <f>'Quadrimestral Guri'!L30</f>
        <v>0</v>
      </c>
      <c r="M30" s="13">
        <f>'Quadrimestral Guri'!M30</f>
        <v>0</v>
      </c>
      <c r="N30" s="13">
        <f t="shared" si="3"/>
        <v>125579.51</v>
      </c>
    </row>
    <row r="31" spans="1:14" s="14" customFormat="1" ht="16.5" customHeight="1" x14ac:dyDescent="0.35">
      <c r="A31" s="15" t="s">
        <v>28</v>
      </c>
      <c r="B31" s="13">
        <f>'Quadrimestral Guri'!B31</f>
        <v>1231.3499999999999</v>
      </c>
      <c r="C31" s="13">
        <f>'Quadrimestral Guri'!C31</f>
        <v>53.19</v>
      </c>
      <c r="D31" s="13">
        <f>'Quadrimestral Guri'!D31</f>
        <v>245.76</v>
      </c>
      <c r="E31" s="13">
        <f>'Quadrimestral Guri'!E31</f>
        <v>170</v>
      </c>
      <c r="F31" s="13">
        <f>'Quadrimestral Guri'!F31</f>
        <v>75</v>
      </c>
      <c r="G31" s="13">
        <f>'Quadrimestral Guri'!G31</f>
        <v>10</v>
      </c>
      <c r="H31" s="13">
        <f>'Quadrimestral Guri'!H31</f>
        <v>0</v>
      </c>
      <c r="I31" s="13">
        <f>'Quadrimestral Guri'!I31</f>
        <v>0</v>
      </c>
      <c r="J31" s="13">
        <f>'Quadrimestral Guri'!J31</f>
        <v>0</v>
      </c>
      <c r="K31" s="13">
        <f>'Quadrimestral Guri'!K31</f>
        <v>0</v>
      </c>
      <c r="L31" s="13">
        <f>'Quadrimestral Guri'!L31</f>
        <v>0</v>
      </c>
      <c r="M31" s="13">
        <f>'Quadrimestral Guri'!M31</f>
        <v>0</v>
      </c>
      <c r="N31" s="13">
        <f t="shared" si="3"/>
        <v>1785.3</v>
      </c>
    </row>
    <row r="32" spans="1:14" s="14" customFormat="1" ht="16.5" customHeight="1" x14ac:dyDescent="0.35">
      <c r="A32" s="12" t="s">
        <v>29</v>
      </c>
      <c r="B32" s="13">
        <f>'Quadrimestral Guri'!B32</f>
        <v>0</v>
      </c>
      <c r="C32" s="13">
        <f>'Quadrimestral Guri'!C32</f>
        <v>0</v>
      </c>
      <c r="D32" s="13">
        <f>'Quadrimestral Guri'!D32</f>
        <v>0</v>
      </c>
      <c r="E32" s="13">
        <f>'Quadrimestral Guri'!E32</f>
        <v>0</v>
      </c>
      <c r="F32" s="13">
        <f>'Quadrimestral Guri'!F32</f>
        <v>0</v>
      </c>
      <c r="G32" s="13">
        <f>'Quadrimestral Guri'!G32</f>
        <v>0</v>
      </c>
      <c r="H32" s="13">
        <f>'Quadrimestral Guri'!H32</f>
        <v>39054.74</v>
      </c>
      <c r="I32" s="13">
        <f>'Quadrimestral Guri'!I32</f>
        <v>0</v>
      </c>
      <c r="J32" s="13">
        <f>'Quadrimestral Guri'!J32</f>
        <v>0</v>
      </c>
      <c r="K32" s="13">
        <f>'Quadrimestral Guri'!K32</f>
        <v>0</v>
      </c>
      <c r="L32" s="13">
        <f>'Quadrimestral Guri'!L32</f>
        <v>0</v>
      </c>
      <c r="M32" s="13">
        <f>'Quadrimestral Guri'!M32</f>
        <v>0</v>
      </c>
      <c r="N32" s="13">
        <f t="shared" si="3"/>
        <v>39054.74</v>
      </c>
    </row>
    <row r="33" spans="1:14" s="14" customFormat="1" ht="16.5" customHeight="1" x14ac:dyDescent="0.35">
      <c r="A33" s="12" t="s">
        <v>30</v>
      </c>
      <c r="B33" s="13">
        <f>'Quadrimestral Guri'!B33</f>
        <v>0</v>
      </c>
      <c r="C33" s="13">
        <f>'Quadrimestral Guri'!C33</f>
        <v>0</v>
      </c>
      <c r="D33" s="13">
        <f>'Quadrimestral Guri'!D33</f>
        <v>0</v>
      </c>
      <c r="E33" s="13">
        <f>'Quadrimestral Guri'!E33</f>
        <v>0</v>
      </c>
      <c r="F33" s="13">
        <f>'Quadrimestral Guri'!F33</f>
        <v>0</v>
      </c>
      <c r="G33" s="13">
        <f>'Quadrimestral Guri'!G33</f>
        <v>0</v>
      </c>
      <c r="H33" s="13">
        <f>'Quadrimestral Guri'!H33</f>
        <v>0</v>
      </c>
      <c r="I33" s="13">
        <f>'Quadrimestral Guri'!I33</f>
        <v>0</v>
      </c>
      <c r="J33" s="13">
        <f>'Quadrimestral Guri'!J33</f>
        <v>0</v>
      </c>
      <c r="K33" s="13">
        <f>'Quadrimestral Guri'!K33</f>
        <v>0</v>
      </c>
      <c r="L33" s="13">
        <f>'Quadrimestral Guri'!L33</f>
        <v>0</v>
      </c>
      <c r="M33" s="13">
        <f>'Quadrimestral Guri'!M33</f>
        <v>0</v>
      </c>
      <c r="N33" s="13">
        <f t="shared" si="3"/>
        <v>0</v>
      </c>
    </row>
    <row r="34" spans="1:14" s="11" customFormat="1" ht="16.5" customHeight="1" x14ac:dyDescent="0.35">
      <c r="A34" s="36" t="s">
        <v>56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14" customFormat="1" ht="16.5" customHeight="1" x14ac:dyDescent="0.35">
      <c r="A35" s="15" t="s">
        <v>33</v>
      </c>
      <c r="B35" s="13">
        <f>'Quadrimestral Guri'!B37</f>
        <v>0</v>
      </c>
      <c r="C35" s="13">
        <f>'Quadrimestral Guri'!C37</f>
        <v>0</v>
      </c>
      <c r="D35" s="13">
        <f>'Quadrimestral Guri'!D37</f>
        <v>0</v>
      </c>
      <c r="E35" s="13">
        <f>'Quadrimestral Guri'!E37</f>
        <v>0</v>
      </c>
      <c r="F35" s="13">
        <f>'Quadrimestral Guri'!F37</f>
        <v>0</v>
      </c>
      <c r="G35" s="13">
        <f>'Quadrimestral Guri'!G37</f>
        <v>0</v>
      </c>
      <c r="H35" s="13">
        <f>'Quadrimestral Guri'!H37</f>
        <v>0</v>
      </c>
      <c r="I35" s="13">
        <f>'Quadrimestral Guri'!I37</f>
        <v>0</v>
      </c>
      <c r="J35" s="13">
        <f>'Quadrimestral Guri'!J37</f>
        <v>0</v>
      </c>
      <c r="K35" s="13">
        <f>'Quadrimestral Guri'!K37</f>
        <v>0</v>
      </c>
      <c r="L35" s="13">
        <f>'Quadrimestral Guri'!L37</f>
        <v>0</v>
      </c>
      <c r="M35" s="13">
        <f>'Quadrimestral Guri'!M37</f>
        <v>0</v>
      </c>
      <c r="N35" s="13">
        <f t="shared" ref="N35:N43" si="4">SUM(B35:M35)</f>
        <v>0</v>
      </c>
    </row>
    <row r="36" spans="1:14" s="14" customFormat="1" ht="16.5" customHeight="1" x14ac:dyDescent="0.35">
      <c r="A36" s="15" t="s">
        <v>34</v>
      </c>
      <c r="B36" s="13">
        <f>'Quadrimestral Guri'!B38</f>
        <v>0</v>
      </c>
      <c r="C36" s="13">
        <f>'Quadrimestral Guri'!C38</f>
        <v>0</v>
      </c>
      <c r="D36" s="13">
        <f>'Quadrimestral Guri'!D38</f>
        <v>0</v>
      </c>
      <c r="E36" s="13">
        <f>'Quadrimestral Guri'!E38</f>
        <v>0</v>
      </c>
      <c r="F36" s="13">
        <f>'Quadrimestral Guri'!F38</f>
        <v>0</v>
      </c>
      <c r="G36" s="13">
        <f>'Quadrimestral Guri'!G38</f>
        <v>0</v>
      </c>
      <c r="H36" s="13">
        <f>'Quadrimestral Guri'!H38</f>
        <v>0</v>
      </c>
      <c r="I36" s="13">
        <f>'Quadrimestral Guri'!I38</f>
        <v>0</v>
      </c>
      <c r="J36" s="13">
        <f>'Quadrimestral Guri'!J38</f>
        <v>0</v>
      </c>
      <c r="K36" s="13">
        <f>'Quadrimestral Guri'!K38</f>
        <v>0</v>
      </c>
      <c r="L36" s="13">
        <f>'Quadrimestral Guri'!L38</f>
        <v>0</v>
      </c>
      <c r="M36" s="13">
        <f>'Quadrimestral Guri'!M38</f>
        <v>0</v>
      </c>
      <c r="N36" s="13">
        <f t="shared" si="4"/>
        <v>0</v>
      </c>
    </row>
    <row r="37" spans="1:14" s="14" customFormat="1" ht="16.5" customHeight="1" x14ac:dyDescent="0.35">
      <c r="A37" s="12" t="s">
        <v>57</v>
      </c>
      <c r="B37" s="13">
        <f>'Quadrimestral Guri'!B39</f>
        <v>0</v>
      </c>
      <c r="C37" s="13">
        <f>'Quadrimestral Guri'!C39</f>
        <v>0</v>
      </c>
      <c r="D37" s="13">
        <f>'Quadrimestral Guri'!D39</f>
        <v>0</v>
      </c>
      <c r="E37" s="13">
        <f>'Quadrimestral Guri'!E39</f>
        <v>0</v>
      </c>
      <c r="F37" s="13">
        <f>'Quadrimestral Guri'!F39</f>
        <v>0</v>
      </c>
      <c r="G37" s="13">
        <f>'Quadrimestral Guri'!G39</f>
        <v>0</v>
      </c>
      <c r="H37" s="13">
        <f>'Quadrimestral Guri'!H39</f>
        <v>0</v>
      </c>
      <c r="I37" s="13">
        <f>'Quadrimestral Guri'!I39</f>
        <v>0</v>
      </c>
      <c r="J37" s="13">
        <f>'Quadrimestral Guri'!J39</f>
        <v>0</v>
      </c>
      <c r="K37" s="13">
        <f>'Quadrimestral Guri'!K39</f>
        <v>0</v>
      </c>
      <c r="L37" s="13">
        <f>'Quadrimestral Guri'!L39</f>
        <v>0</v>
      </c>
      <c r="M37" s="13">
        <f>'Quadrimestral Guri'!M39</f>
        <v>0</v>
      </c>
      <c r="N37" s="13">
        <f t="shared" si="4"/>
        <v>0</v>
      </c>
    </row>
    <row r="38" spans="1:14" s="14" customFormat="1" ht="16.5" customHeight="1" x14ac:dyDescent="0.35">
      <c r="A38" s="15" t="s">
        <v>36</v>
      </c>
      <c r="B38" s="13">
        <f>'Quadrimestral Guri'!B40</f>
        <v>0</v>
      </c>
      <c r="C38" s="13">
        <f>'Quadrimestral Guri'!C40</f>
        <v>0</v>
      </c>
      <c r="D38" s="13">
        <f>'Quadrimestral Guri'!D40</f>
        <v>0</v>
      </c>
      <c r="E38" s="13">
        <f>'Quadrimestral Guri'!E40</f>
        <v>0</v>
      </c>
      <c r="F38" s="13">
        <f>'Quadrimestral Guri'!F40</f>
        <v>0</v>
      </c>
      <c r="G38" s="13">
        <f>'Quadrimestral Guri'!G40</f>
        <v>0</v>
      </c>
      <c r="H38" s="13">
        <f>'Quadrimestral Guri'!H40</f>
        <v>0</v>
      </c>
      <c r="I38" s="13">
        <f>'Quadrimestral Guri'!I40</f>
        <v>0</v>
      </c>
      <c r="J38" s="13">
        <f>'Quadrimestral Guri'!J40</f>
        <v>0</v>
      </c>
      <c r="K38" s="13">
        <f>'Quadrimestral Guri'!K40</f>
        <v>0</v>
      </c>
      <c r="L38" s="13">
        <f>'Quadrimestral Guri'!L40</f>
        <v>0</v>
      </c>
      <c r="M38" s="13">
        <f>'Quadrimestral Guri'!M40</f>
        <v>0</v>
      </c>
      <c r="N38" s="13">
        <f t="shared" si="4"/>
        <v>0</v>
      </c>
    </row>
    <row r="39" spans="1:14" s="14" customFormat="1" ht="16.5" customHeight="1" x14ac:dyDescent="0.35">
      <c r="A39" s="15" t="s">
        <v>37</v>
      </c>
      <c r="B39" s="13">
        <f>'Quadrimestral Guri'!B41</f>
        <v>0</v>
      </c>
      <c r="C39" s="13">
        <f>'Quadrimestral Guri'!C41</f>
        <v>0</v>
      </c>
      <c r="D39" s="13">
        <f>'Quadrimestral Guri'!D41</f>
        <v>0</v>
      </c>
      <c r="E39" s="13">
        <f>'Quadrimestral Guri'!E41</f>
        <v>0</v>
      </c>
      <c r="F39" s="13">
        <f>'Quadrimestral Guri'!F41</f>
        <v>0</v>
      </c>
      <c r="G39" s="13">
        <f>'Quadrimestral Guri'!G41</f>
        <v>0</v>
      </c>
      <c r="H39" s="13">
        <f>'Quadrimestral Guri'!H41</f>
        <v>0</v>
      </c>
      <c r="I39" s="13">
        <f>'Quadrimestral Guri'!I41</f>
        <v>0</v>
      </c>
      <c r="J39" s="13">
        <f>'Quadrimestral Guri'!J41</f>
        <v>0</v>
      </c>
      <c r="K39" s="13">
        <f>'Quadrimestral Guri'!K41</f>
        <v>0</v>
      </c>
      <c r="L39" s="13">
        <f>'Quadrimestral Guri'!L41</f>
        <v>0</v>
      </c>
      <c r="M39" s="13">
        <f>'Quadrimestral Guri'!M41</f>
        <v>0</v>
      </c>
      <c r="N39" s="13">
        <f t="shared" si="4"/>
        <v>0</v>
      </c>
    </row>
    <row r="40" spans="1:14" s="14" customFormat="1" ht="16.5" customHeight="1" x14ac:dyDescent="0.35">
      <c r="A40" s="15" t="s">
        <v>38</v>
      </c>
      <c r="B40" s="13">
        <f>'Quadrimestral Guri'!B42</f>
        <v>0</v>
      </c>
      <c r="C40" s="13">
        <f>'Quadrimestral Guri'!C42</f>
        <v>0</v>
      </c>
      <c r="D40" s="13">
        <f>'Quadrimestral Guri'!D42</f>
        <v>0</v>
      </c>
      <c r="E40" s="13">
        <f>'Quadrimestral Guri'!E42</f>
        <v>0</v>
      </c>
      <c r="F40" s="13">
        <f>'Quadrimestral Guri'!F42</f>
        <v>0</v>
      </c>
      <c r="G40" s="13">
        <f>'Quadrimestral Guri'!G42</f>
        <v>0</v>
      </c>
      <c r="H40" s="13">
        <f>'Quadrimestral Guri'!H42</f>
        <v>0</v>
      </c>
      <c r="I40" s="13">
        <f>'Quadrimestral Guri'!I42</f>
        <v>0</v>
      </c>
      <c r="J40" s="13">
        <f>'Quadrimestral Guri'!J42</f>
        <v>0</v>
      </c>
      <c r="K40" s="13">
        <f>'Quadrimestral Guri'!K42</f>
        <v>0</v>
      </c>
      <c r="L40" s="13">
        <f>'Quadrimestral Guri'!L42</f>
        <v>0</v>
      </c>
      <c r="M40" s="13">
        <f>'Quadrimestral Guri'!M42</f>
        <v>0</v>
      </c>
      <c r="N40" s="13">
        <f t="shared" si="4"/>
        <v>0</v>
      </c>
    </row>
    <row r="41" spans="1:14" s="14" customFormat="1" ht="16.5" customHeight="1" x14ac:dyDescent="0.35">
      <c r="A41" s="15" t="s">
        <v>39</v>
      </c>
      <c r="B41" s="13">
        <f>'Quadrimestral Guri'!B43</f>
        <v>0</v>
      </c>
      <c r="C41" s="13">
        <f>'Quadrimestral Guri'!C43</f>
        <v>0</v>
      </c>
      <c r="D41" s="13">
        <f>'Quadrimestral Guri'!D43</f>
        <v>0</v>
      </c>
      <c r="E41" s="13">
        <f>'Quadrimestral Guri'!E43</f>
        <v>0</v>
      </c>
      <c r="F41" s="13">
        <f>'Quadrimestral Guri'!F43</f>
        <v>0</v>
      </c>
      <c r="G41" s="13">
        <f>'Quadrimestral Guri'!G43</f>
        <v>0</v>
      </c>
      <c r="H41" s="13">
        <f>'Quadrimestral Guri'!H43</f>
        <v>0</v>
      </c>
      <c r="I41" s="13">
        <f>'Quadrimestral Guri'!I43</f>
        <v>0</v>
      </c>
      <c r="J41" s="13">
        <f>'Quadrimestral Guri'!J43</f>
        <v>0</v>
      </c>
      <c r="K41" s="13">
        <f>'Quadrimestral Guri'!K43</f>
        <v>0</v>
      </c>
      <c r="L41" s="13">
        <f>'Quadrimestral Guri'!L43</f>
        <v>0</v>
      </c>
      <c r="M41" s="13">
        <f>'Quadrimestral Guri'!M43</f>
        <v>0</v>
      </c>
      <c r="N41" s="13">
        <f t="shared" si="4"/>
        <v>0</v>
      </c>
    </row>
    <row r="42" spans="1:14" s="14" customFormat="1" ht="16.5" customHeight="1" x14ac:dyDescent="0.35">
      <c r="A42" s="15" t="s">
        <v>40</v>
      </c>
      <c r="B42" s="13">
        <f>'Quadrimestral Guri'!B44</f>
        <v>0</v>
      </c>
      <c r="C42" s="13">
        <f>'Quadrimestral Guri'!C44</f>
        <v>0</v>
      </c>
      <c r="D42" s="13">
        <f>'Quadrimestral Guri'!D44</f>
        <v>0</v>
      </c>
      <c r="E42" s="13">
        <f>'Quadrimestral Guri'!E44</f>
        <v>0</v>
      </c>
      <c r="F42" s="13">
        <f>'Quadrimestral Guri'!F44</f>
        <v>0</v>
      </c>
      <c r="G42" s="13">
        <f>'Quadrimestral Guri'!G44</f>
        <v>0</v>
      </c>
      <c r="H42" s="13">
        <f>'Quadrimestral Guri'!H44</f>
        <v>0</v>
      </c>
      <c r="I42" s="13">
        <f>'Quadrimestral Guri'!I44</f>
        <v>0</v>
      </c>
      <c r="J42" s="13">
        <f>'Quadrimestral Guri'!J44</f>
        <v>0</v>
      </c>
      <c r="K42" s="13">
        <f>'Quadrimestral Guri'!K44</f>
        <v>0</v>
      </c>
      <c r="L42" s="13">
        <f>'Quadrimestral Guri'!L44</f>
        <v>0</v>
      </c>
      <c r="M42" s="13">
        <f>'Quadrimestral Guri'!M44</f>
        <v>0</v>
      </c>
      <c r="N42" s="13">
        <f t="shared" si="4"/>
        <v>0</v>
      </c>
    </row>
    <row r="43" spans="1:14" s="14" customFormat="1" ht="16.5" customHeight="1" x14ac:dyDescent="0.35">
      <c r="A43" s="15" t="s">
        <v>41</v>
      </c>
      <c r="B43" s="13">
        <f>'Quadrimestral Guri'!B45</f>
        <v>0</v>
      </c>
      <c r="C43" s="13">
        <f>'Quadrimestral Guri'!C45</f>
        <v>0</v>
      </c>
      <c r="D43" s="13">
        <f>'Quadrimestral Guri'!D45</f>
        <v>0</v>
      </c>
      <c r="E43" s="13">
        <f>'Quadrimestral Guri'!E45</f>
        <v>0</v>
      </c>
      <c r="F43" s="13">
        <f>'Quadrimestral Guri'!F45</f>
        <v>0</v>
      </c>
      <c r="G43" s="13">
        <f>'Quadrimestral Guri'!G45</f>
        <v>0</v>
      </c>
      <c r="H43" s="13">
        <f>'Quadrimestral Guri'!H45</f>
        <v>0</v>
      </c>
      <c r="I43" s="13">
        <f>'Quadrimestral Guri'!I45</f>
        <v>0</v>
      </c>
      <c r="J43" s="13">
        <f>'Quadrimestral Guri'!J45</f>
        <v>0</v>
      </c>
      <c r="K43" s="13">
        <f>'Quadrimestral Guri'!K45</f>
        <v>0</v>
      </c>
      <c r="L43" s="13">
        <f>'Quadrimestral Guri'!L45</f>
        <v>0</v>
      </c>
      <c r="M43" s="13">
        <f>'Quadrimestral Guri'!M45</f>
        <v>0</v>
      </c>
      <c r="N43" s="13">
        <f t="shared" si="4"/>
        <v>0</v>
      </c>
    </row>
    <row r="44" spans="1:14" ht="16.5" customHeight="1" x14ac:dyDescent="0.3">
      <c r="B44" s="8" t="s">
        <v>4</v>
      </c>
    </row>
    <row r="45" spans="1:14" s="24" customFormat="1" ht="16.5" customHeight="1" x14ac:dyDescent="0.25">
      <c r="A45" s="22" t="s">
        <v>58</v>
      </c>
      <c r="B45" s="23">
        <f t="shared" ref="B45:N45" si="5">+B4+B7-B14</f>
        <v>4175354.09</v>
      </c>
      <c r="C45" s="23">
        <f t="shared" si="5"/>
        <v>2040426.5199999996</v>
      </c>
      <c r="D45" s="23">
        <f t="shared" si="5"/>
        <v>478491.41999999969</v>
      </c>
      <c r="E45" s="23">
        <f t="shared" si="5"/>
        <v>285844.20999999973</v>
      </c>
      <c r="F45" s="23">
        <f t="shared" si="5"/>
        <v>210590.25999999975</v>
      </c>
      <c r="G45" s="23">
        <f t="shared" si="5"/>
        <v>39054.739999999758</v>
      </c>
      <c r="H45" s="23">
        <f t="shared" si="5"/>
        <v>-2.4010660126805305E-10</v>
      </c>
      <c r="I45" s="23">
        <f t="shared" si="5"/>
        <v>-2.4010660126805305E-10</v>
      </c>
      <c r="J45" s="23">
        <f t="shared" si="5"/>
        <v>-2.4010660126805305E-10</v>
      </c>
      <c r="K45" s="23">
        <f t="shared" si="5"/>
        <v>-2.4010660126805305E-10</v>
      </c>
      <c r="L45" s="23">
        <f t="shared" si="5"/>
        <v>-2.4010660126805305E-10</v>
      </c>
      <c r="M45" s="23">
        <f t="shared" si="5"/>
        <v>-2.4010660126805305E-10</v>
      </c>
      <c r="N45" s="23">
        <f t="shared" si="5"/>
        <v>0</v>
      </c>
    </row>
    <row r="46" spans="1:14" ht="16.5" customHeight="1" x14ac:dyDescent="0.25">
      <c r="B46" s="26">
        <f>'Quadrimestral Guri'!B48</f>
        <v>4175354.09</v>
      </c>
      <c r="C46" s="26">
        <f>'Quadrimestral Guri'!C48</f>
        <v>2040426.52</v>
      </c>
      <c r="D46" s="26">
        <f>'Quadrimestral Guri'!D48</f>
        <v>478491.42</v>
      </c>
      <c r="E46" s="26">
        <f>'Quadrimestral Guri'!E48</f>
        <v>285844.21000000002</v>
      </c>
      <c r="F46" s="26">
        <f>'Quadrimestral Guri'!F48</f>
        <v>210590.26</v>
      </c>
      <c r="G46" s="26">
        <f>'Quadrimestral Guri'!G48</f>
        <v>39054.74</v>
      </c>
      <c r="H46" s="26">
        <f>'Quadrimestral Guri'!H48</f>
        <v>0</v>
      </c>
      <c r="I46" s="26">
        <f>'Quadrimestral Guri'!I48</f>
        <v>0</v>
      </c>
      <c r="J46" s="26">
        <f>'Quadrimestral Guri'!J48</f>
        <v>0</v>
      </c>
      <c r="K46" s="26">
        <f>'Quadrimestral Guri'!K48</f>
        <v>0</v>
      </c>
      <c r="L46" s="26">
        <f>'Quadrimestral Guri'!L48</f>
        <v>0</v>
      </c>
      <c r="M46" s="26">
        <f>'Quadrimestral Guri'!M48</f>
        <v>0</v>
      </c>
    </row>
    <row r="47" spans="1:14" ht="16.5" customHeight="1" x14ac:dyDescent="0.25">
      <c r="B47" s="31">
        <f t="shared" ref="B47:M47" si="6">+B45-B46</f>
        <v>0</v>
      </c>
      <c r="C47" s="31">
        <f t="shared" si="6"/>
        <v>0</v>
      </c>
      <c r="D47" s="31">
        <f t="shared" si="6"/>
        <v>0</v>
      </c>
      <c r="E47" s="31">
        <f t="shared" si="6"/>
        <v>0</v>
      </c>
      <c r="F47" s="31">
        <f t="shared" si="6"/>
        <v>-2.6193447411060333E-10</v>
      </c>
      <c r="G47" s="31">
        <f t="shared" si="6"/>
        <v>-2.4010660126805305E-10</v>
      </c>
      <c r="H47" s="31">
        <f t="shared" si="6"/>
        <v>-2.4010660126805305E-10</v>
      </c>
      <c r="I47" s="31">
        <f t="shared" si="6"/>
        <v>-2.4010660126805305E-10</v>
      </c>
      <c r="J47" s="31">
        <f t="shared" si="6"/>
        <v>-2.4010660126805305E-10</v>
      </c>
      <c r="K47" s="31">
        <f t="shared" si="6"/>
        <v>-2.4010660126805305E-10</v>
      </c>
      <c r="L47" s="31">
        <f t="shared" si="6"/>
        <v>-2.4010660126805305E-10</v>
      </c>
      <c r="M47" s="31">
        <f t="shared" si="6"/>
        <v>-2.4010660126805305E-10</v>
      </c>
    </row>
    <row r="48" spans="1:14" ht="16.5" customHeight="1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1:13" ht="16.5" customHeight="1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</row>
    <row r="50" spans="1:13" ht="16.5" customHeight="1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</row>
    <row r="51" spans="1:13" ht="16.5" customHeight="1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</row>
    <row r="52" spans="1:13" ht="16.5" customHeight="1" x14ac:dyDescent="0.25">
      <c r="A52" s="27"/>
      <c r="B52" s="26"/>
      <c r="C52" s="28"/>
      <c r="D52" s="28"/>
      <c r="E52" s="28"/>
      <c r="F52" s="26"/>
    </row>
    <row r="53" spans="1:13" ht="16.5" customHeight="1" x14ac:dyDescent="0.35">
      <c r="A53" s="29" t="s">
        <v>43</v>
      </c>
      <c r="C53" s="30" t="s">
        <v>44</v>
      </c>
      <c r="E53" s="30"/>
      <c r="H53" s="31"/>
    </row>
    <row r="54" spans="1:13" ht="16.5" customHeight="1" x14ac:dyDescent="0.35">
      <c r="A54" s="30" t="s">
        <v>45</v>
      </c>
      <c r="C54" s="30" t="s">
        <v>46</v>
      </c>
      <c r="E54" s="30"/>
    </row>
    <row r="55" spans="1:13" ht="16.5" customHeight="1" x14ac:dyDescent="0.25">
      <c r="F55" s="32"/>
    </row>
    <row r="56" spans="1:13" ht="16.5" customHeight="1" x14ac:dyDescent="0.25">
      <c r="F56" s="32"/>
      <c r="G56" s="26"/>
      <c r="H56" s="26"/>
    </row>
    <row r="57" spans="1:13" ht="16.5" customHeight="1" x14ac:dyDescent="0.25">
      <c r="F57" s="32"/>
      <c r="G57" s="26"/>
      <c r="H57" s="26"/>
    </row>
    <row r="58" spans="1:13" ht="16.5" customHeight="1" x14ac:dyDescent="0.25">
      <c r="F58" s="32"/>
      <c r="G58" s="26"/>
      <c r="H58" s="26"/>
    </row>
    <row r="59" spans="1:13" ht="16.5" customHeight="1" x14ac:dyDescent="0.25">
      <c r="F59" s="32"/>
      <c r="G59" s="26"/>
      <c r="H59" s="26"/>
    </row>
    <row r="60" spans="1:13" ht="16.5" customHeight="1" x14ac:dyDescent="0.25">
      <c r="F60" s="32"/>
      <c r="G60" s="26"/>
      <c r="H60" s="26"/>
    </row>
    <row r="61" spans="1:13" ht="16.5" customHeight="1" x14ac:dyDescent="0.25">
      <c r="F61" s="32"/>
      <c r="G61" s="26"/>
      <c r="H61" s="26"/>
    </row>
    <row r="62" spans="1:13" ht="16.5" customHeight="1" x14ac:dyDescent="0.25">
      <c r="F62" s="32"/>
      <c r="G62" s="26"/>
      <c r="H62" s="26"/>
    </row>
    <row r="63" spans="1:13" ht="16.5" customHeight="1" x14ac:dyDescent="0.25">
      <c r="F63" s="32"/>
      <c r="G63" s="26"/>
      <c r="H63" s="26"/>
    </row>
    <row r="64" spans="1:13" ht="16.5" customHeight="1" x14ac:dyDescent="0.25">
      <c r="F64" s="32"/>
      <c r="G64" s="26"/>
      <c r="H64" s="26"/>
    </row>
    <row r="65" spans="6:6" ht="16.5" customHeight="1" x14ac:dyDescent="0.25">
      <c r="F65" s="32"/>
    </row>
    <row r="66" spans="6:6" ht="16.5" customHeight="1" x14ac:dyDescent="0.25">
      <c r="F66" s="32"/>
    </row>
    <row r="67" spans="6:6" ht="16.5" customHeight="1" x14ac:dyDescent="0.25">
      <c r="F67" s="32"/>
    </row>
    <row r="68" spans="6:6" ht="16.5" customHeight="1" x14ac:dyDescent="0.25">
      <c r="F68" s="32"/>
    </row>
    <row r="69" spans="6:6" ht="16.5" customHeight="1" x14ac:dyDescent="0.25">
      <c r="F69" s="32"/>
    </row>
    <row r="70" spans="6:6" ht="16.5" customHeight="1" x14ac:dyDescent="0.25">
      <c r="F70" s="32"/>
    </row>
    <row r="71" spans="6:6" ht="16.5" customHeight="1" x14ac:dyDescent="0.25">
      <c r="F71" s="32"/>
    </row>
    <row r="72" spans="6:6" ht="16.5" customHeight="1" x14ac:dyDescent="0.25">
      <c r="F72" s="32"/>
    </row>
    <row r="73" spans="6:6" ht="16.5" customHeight="1" x14ac:dyDescent="0.25">
      <c r="F73" s="32"/>
    </row>
    <row r="74" spans="6:6" ht="16.5" customHeight="1" x14ac:dyDescent="0.25">
      <c r="F74" s="32"/>
    </row>
    <row r="75" spans="6:6" ht="16.5" customHeight="1" x14ac:dyDescent="0.25">
      <c r="F75" s="32"/>
    </row>
    <row r="76" spans="6:6" ht="16.5" customHeight="1" x14ac:dyDescent="0.25">
      <c r="F76" s="32"/>
    </row>
    <row r="77" spans="6:6" ht="16.5" customHeight="1" x14ac:dyDescent="0.25">
      <c r="F77" s="32"/>
    </row>
    <row r="78" spans="6:6" ht="16.5" customHeight="1" x14ac:dyDescent="0.25">
      <c r="F78" s="32"/>
    </row>
    <row r="79" spans="6:6" ht="16.5" customHeight="1" x14ac:dyDescent="0.25">
      <c r="F79" s="32"/>
    </row>
    <row r="80" spans="6:6" ht="16.5" customHeight="1" x14ac:dyDescent="0.25">
      <c r="F80" s="32"/>
    </row>
    <row r="81" spans="6:6" ht="16.5" customHeight="1" x14ac:dyDescent="0.25">
      <c r="F81" s="32"/>
    </row>
    <row r="82" spans="6:6" ht="16.5" customHeight="1" x14ac:dyDescent="0.25">
      <c r="F82" s="32"/>
    </row>
    <row r="83" spans="6:6" ht="16.5" customHeight="1" x14ac:dyDescent="0.25">
      <c r="F83" s="32"/>
    </row>
    <row r="84" spans="6:6" ht="16.5" customHeight="1" x14ac:dyDescent="0.25">
      <c r="F84" s="32"/>
    </row>
    <row r="85" spans="6:6" ht="16.5" customHeight="1" x14ac:dyDescent="0.25">
      <c r="F85" s="32"/>
    </row>
    <row r="86" spans="6:6" ht="16.5" customHeight="1" x14ac:dyDescent="0.25">
      <c r="F86" s="32"/>
    </row>
    <row r="87" spans="6:6" ht="16.5" customHeight="1" x14ac:dyDescent="0.25">
      <c r="F87" s="32"/>
    </row>
  </sheetData>
  <mergeCells count="1">
    <mergeCell ref="B1:N1"/>
  </mergeCells>
  <printOptions horizontalCentered="1"/>
  <pageMargins left="0.15763888888888899" right="0.27569444444444402" top="0.35416666666666702" bottom="0.35416666666666702" header="0.511811023622047" footer="0.511811023622047"/>
  <pageSetup paperSize="9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FF"/>
    <pageSetUpPr fitToPage="1"/>
  </sheetPr>
  <dimension ref="A1:AMJ90"/>
  <sheetViews>
    <sheetView showGridLines="0" zoomScale="90" zoomScaleNormal="90" workbookViewId="0">
      <pane xSplit="1" ySplit="4" topLeftCell="I35" activePane="bottomRight" state="frozen"/>
      <selection pane="topRight" activeCell="I1" sqref="I1"/>
      <selection pane="bottomLeft" activeCell="A35" sqref="A35"/>
      <selection pane="bottomRight" activeCell="B5" sqref="B5"/>
    </sheetView>
  </sheetViews>
  <sheetFormatPr defaultColWidth="9.1796875" defaultRowHeight="12.5" x14ac:dyDescent="0.25"/>
  <cols>
    <col min="1" max="1" width="58.7265625" style="1" customWidth="1"/>
    <col min="2" max="2" width="17.26953125" style="1" customWidth="1"/>
    <col min="3" max="3" width="17.453125" style="1" customWidth="1"/>
    <col min="4" max="13" width="17.26953125" style="1" customWidth="1"/>
    <col min="14" max="14" width="20" style="1" customWidth="1"/>
    <col min="15" max="15" width="9.1796875" style="1"/>
    <col min="16" max="16" width="16.453125" style="1" customWidth="1"/>
    <col min="17" max="1024" width="9.1796875" style="1"/>
  </cols>
  <sheetData>
    <row r="1" spans="1:14" ht="67.5" customHeight="1" x14ac:dyDescent="0.25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67.5" customHeight="1" x14ac:dyDescent="0.25"/>
    <row r="3" spans="1:14" ht="26.5" customHeight="1" x14ac:dyDescent="0.25">
      <c r="B3" s="2">
        <v>44562</v>
      </c>
      <c r="C3" s="2">
        <v>44593</v>
      </c>
      <c r="D3" s="2">
        <v>44621</v>
      </c>
      <c r="E3" s="2">
        <v>44652</v>
      </c>
      <c r="F3" s="2">
        <v>44682</v>
      </c>
      <c r="G3" s="2">
        <v>44713</v>
      </c>
      <c r="H3" s="2">
        <v>44743</v>
      </c>
      <c r="I3" s="2">
        <v>44774</v>
      </c>
      <c r="J3" s="2">
        <v>44805</v>
      </c>
      <c r="K3" s="2">
        <v>44835</v>
      </c>
      <c r="L3" s="2">
        <v>44866</v>
      </c>
      <c r="M3" s="2">
        <v>44896</v>
      </c>
      <c r="N3" s="2" t="s">
        <v>47</v>
      </c>
    </row>
    <row r="4" spans="1:14" ht="16.5" customHeight="1" x14ac:dyDescent="0.35">
      <c r="A4" s="4" t="s">
        <v>2</v>
      </c>
      <c r="B4" s="5">
        <v>41064162.920000002</v>
      </c>
      <c r="C4" s="5">
        <f t="shared" ref="C4:M4" si="0">B48</f>
        <v>36207094.899999999</v>
      </c>
      <c r="D4" s="5">
        <f t="shared" si="0"/>
        <v>32400745.41</v>
      </c>
      <c r="E4" s="5">
        <f t="shared" si="0"/>
        <v>30958218.299999997</v>
      </c>
      <c r="F4" s="5">
        <f t="shared" si="0"/>
        <v>30385630.739999998</v>
      </c>
      <c r="G4" s="5">
        <f t="shared" si="0"/>
        <v>30457361.719999999</v>
      </c>
      <c r="H4" s="5">
        <f t="shared" si="0"/>
        <v>30008772.059999999</v>
      </c>
      <c r="I4" s="5">
        <f t="shared" si="0"/>
        <v>29350444.199999996</v>
      </c>
      <c r="J4" s="5">
        <f t="shared" si="0"/>
        <v>28338392.479999997</v>
      </c>
      <c r="K4" s="5">
        <f t="shared" si="0"/>
        <v>27263820.349999994</v>
      </c>
      <c r="L4" s="5">
        <f t="shared" si="0"/>
        <v>25616128.739999998</v>
      </c>
      <c r="M4" s="5">
        <f t="shared" si="0"/>
        <v>21774904.219999999</v>
      </c>
      <c r="N4" s="5">
        <f>B4</f>
        <v>41064162.920000002</v>
      </c>
    </row>
    <row r="5" spans="1:14" ht="16.5" customHeight="1" x14ac:dyDescent="0.3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6.5" customHeight="1" x14ac:dyDescent="0.3">
      <c r="A6" s="18" t="s">
        <v>59</v>
      </c>
      <c r="B6" s="8" t="s">
        <v>4</v>
      </c>
    </row>
    <row r="7" spans="1:14" s="11" customFormat="1" ht="16.5" customHeight="1" x14ac:dyDescent="0.35">
      <c r="A7" s="9" t="s">
        <v>5</v>
      </c>
      <c r="B7" s="10">
        <f t="shared" ref="B7:N7" si="1">SUM(B8:B11)</f>
        <v>2375674.2600000002</v>
      </c>
      <c r="C7" s="10">
        <f t="shared" si="1"/>
        <v>2275859.9500000002</v>
      </c>
      <c r="D7" s="10">
        <f t="shared" si="1"/>
        <v>2301914.7400000002</v>
      </c>
      <c r="E7" s="10">
        <f t="shared" si="1"/>
        <v>2264795.56</v>
      </c>
      <c r="F7" s="10">
        <f t="shared" si="1"/>
        <v>3118977.38</v>
      </c>
      <c r="G7" s="10">
        <f t="shared" si="1"/>
        <v>3087407.4400000004</v>
      </c>
      <c r="H7" s="10">
        <f t="shared" si="1"/>
        <v>3331492.18</v>
      </c>
      <c r="I7" s="10">
        <f t="shared" si="1"/>
        <v>3097584.5100000002</v>
      </c>
      <c r="J7" s="10">
        <f t="shared" si="1"/>
        <v>3115863.58</v>
      </c>
      <c r="K7" s="10">
        <f t="shared" si="1"/>
        <v>3037332.53</v>
      </c>
      <c r="L7" s="10">
        <f t="shared" si="1"/>
        <v>3017782.1999999997</v>
      </c>
      <c r="M7" s="10">
        <f t="shared" si="1"/>
        <v>15969824.320000002</v>
      </c>
      <c r="N7" s="10">
        <f t="shared" si="1"/>
        <v>46994508.650000006</v>
      </c>
    </row>
    <row r="8" spans="1:14" s="14" customFormat="1" ht="16.5" customHeight="1" x14ac:dyDescent="0.35">
      <c r="A8" s="12" t="s">
        <v>60</v>
      </c>
      <c r="B8" s="13">
        <v>2136432.4900000002</v>
      </c>
      <c r="C8" s="13">
        <v>2057265</v>
      </c>
      <c r="D8" s="13">
        <v>2053065</v>
      </c>
      <c r="E8" s="13">
        <v>2055390</v>
      </c>
      <c r="F8" s="13">
        <v>2847935.42</v>
      </c>
      <c r="G8" s="13">
        <v>2818893.0500000003</v>
      </c>
      <c r="H8" s="13">
        <v>3066202.6</v>
      </c>
      <c r="I8" s="13">
        <v>2798075.2</v>
      </c>
      <c r="J8" s="13">
        <v>2849267.55</v>
      </c>
      <c r="K8" s="13">
        <v>2795547.55</v>
      </c>
      <c r="L8" s="13">
        <v>2796797.55</v>
      </c>
      <c r="M8" s="13">
        <f>15604872.65+122384.46</f>
        <v>15727257.110000001</v>
      </c>
      <c r="N8" s="13">
        <f>SUM(B8:M8)</f>
        <v>44002128.520000003</v>
      </c>
    </row>
    <row r="9" spans="1:14" s="14" customFormat="1" ht="16.5" customHeight="1" x14ac:dyDescent="0.35">
      <c r="A9" s="12" t="s">
        <v>61</v>
      </c>
      <c r="B9" s="13">
        <v>239241.77000000002</v>
      </c>
      <c r="C9" s="13">
        <v>218594.95</v>
      </c>
      <c r="D9" s="13">
        <v>248849.74</v>
      </c>
      <c r="E9" s="13">
        <v>209405.56</v>
      </c>
      <c r="F9" s="13">
        <v>271041.96000000002</v>
      </c>
      <c r="G9" s="13">
        <v>268514.39</v>
      </c>
      <c r="H9" s="13">
        <v>265289.58</v>
      </c>
      <c r="I9" s="13">
        <v>299509.31</v>
      </c>
      <c r="J9" s="13">
        <v>266596.03000000003</v>
      </c>
      <c r="K9" s="13">
        <v>241784.98</v>
      </c>
      <c r="L9" s="13">
        <v>220984.65</v>
      </c>
      <c r="M9" s="13">
        <v>242567.21</v>
      </c>
      <c r="N9" s="13">
        <f>SUM(B9:M9)</f>
        <v>2992380.13</v>
      </c>
    </row>
    <row r="10" spans="1:14" s="14" customFormat="1" ht="16.5" customHeight="1" x14ac:dyDescent="0.35">
      <c r="A10" s="12" t="s">
        <v>62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f>SUM(B10:M10)</f>
        <v>0</v>
      </c>
    </row>
    <row r="11" spans="1:14" s="14" customFormat="1" ht="16.5" customHeight="1" x14ac:dyDescent="0.35">
      <c r="A11" s="12" t="s">
        <v>63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f>SUM(B11:M11)</f>
        <v>0</v>
      </c>
    </row>
    <row r="12" spans="1:14" ht="16.5" customHeight="1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ht="16.5" customHeight="1" x14ac:dyDescent="0.3">
      <c r="A13" s="18" t="s">
        <v>10</v>
      </c>
      <c r="B13" s="8" t="s">
        <v>4</v>
      </c>
    </row>
    <row r="14" spans="1:14" s="11" customFormat="1" ht="16.5" customHeight="1" x14ac:dyDescent="0.35">
      <c r="A14" s="9" t="s">
        <v>11</v>
      </c>
      <c r="B14" s="19">
        <f t="shared" ref="B14:N14" si="2">SUM(B15:B33)</f>
        <v>7181366.2800000003</v>
      </c>
      <c r="C14" s="19">
        <f t="shared" si="2"/>
        <v>5957612.8399999999</v>
      </c>
      <c r="D14" s="19">
        <f t="shared" si="2"/>
        <v>3659151.91</v>
      </c>
      <c r="E14" s="19">
        <f t="shared" si="2"/>
        <v>2808330.7199999997</v>
      </c>
      <c r="F14" s="19">
        <f t="shared" si="2"/>
        <v>3047246.4</v>
      </c>
      <c r="G14" s="19">
        <f t="shared" si="2"/>
        <v>3320969.7999999993</v>
      </c>
      <c r="H14" s="19">
        <f t="shared" si="2"/>
        <v>3989162.9200000004</v>
      </c>
      <c r="I14" s="19">
        <f t="shared" si="2"/>
        <v>3869844.2300000004</v>
      </c>
      <c r="J14" s="19">
        <f t="shared" si="2"/>
        <v>3316655.0699999994</v>
      </c>
      <c r="K14" s="19">
        <f t="shared" si="2"/>
        <v>4498973.9399999995</v>
      </c>
      <c r="L14" s="19">
        <f t="shared" si="2"/>
        <v>6849594.4300000016</v>
      </c>
      <c r="M14" s="19">
        <f t="shared" si="2"/>
        <v>7332304.8900000006</v>
      </c>
      <c r="N14" s="19">
        <f t="shared" si="2"/>
        <v>55831213.430000015</v>
      </c>
    </row>
    <row r="15" spans="1:14" s="14" customFormat="1" ht="16.5" customHeight="1" x14ac:dyDescent="0.35">
      <c r="A15" s="15" t="s">
        <v>12</v>
      </c>
      <c r="B15" s="13">
        <v>6130801.1900000004</v>
      </c>
      <c r="C15" s="13">
        <v>4718153.84</v>
      </c>
      <c r="D15" s="13">
        <v>3185514.91</v>
      </c>
      <c r="E15" s="13">
        <v>2040327.64</v>
      </c>
      <c r="F15" s="13">
        <v>2106102.46</v>
      </c>
      <c r="G15" s="13">
        <v>2078760</v>
      </c>
      <c r="H15" s="13">
        <v>2215295.0499999998</v>
      </c>
      <c r="I15" s="13">
        <v>2084113.64</v>
      </c>
      <c r="J15" s="13">
        <v>2468135.85</v>
      </c>
      <c r="K15" s="13">
        <v>2566084.09</v>
      </c>
      <c r="L15" s="13">
        <v>4035814.81</v>
      </c>
      <c r="M15" s="13">
        <v>4520522.24</v>
      </c>
      <c r="N15" s="13">
        <f t="shared" ref="N15:N33" si="3">SUM(B15:M15)</f>
        <v>38149625.720000006</v>
      </c>
    </row>
    <row r="16" spans="1:14" s="14" customFormat="1" ht="16.5" customHeight="1" x14ac:dyDescent="0.35">
      <c r="A16" s="12" t="s">
        <v>13</v>
      </c>
      <c r="B16" s="13">
        <v>560621.56000000006</v>
      </c>
      <c r="C16" s="13">
        <v>104492.23</v>
      </c>
      <c r="D16" s="13">
        <f>280850.52-45953.42</f>
        <v>234897.10000000003</v>
      </c>
      <c r="E16" s="13">
        <v>294942.93</v>
      </c>
      <c r="F16" s="13">
        <v>314368.65000000002</v>
      </c>
      <c r="G16" s="13">
        <v>754736.48</v>
      </c>
      <c r="H16" s="13">
        <v>732582.9</v>
      </c>
      <c r="I16" s="13">
        <v>817419.13</v>
      </c>
      <c r="J16" s="13">
        <f>972557.83-205996.55</f>
        <v>766561.28000000003</v>
      </c>
      <c r="K16" s="13">
        <f>1041616.31+57574</f>
        <v>1099190.31</v>
      </c>
      <c r="L16" s="13">
        <v>1960505.22</v>
      </c>
      <c r="M16" s="13">
        <v>2075674.31</v>
      </c>
      <c r="N16" s="13">
        <f t="shared" si="3"/>
        <v>9715992.0999999996</v>
      </c>
    </row>
    <row r="17" spans="1:16" s="14" customFormat="1" ht="16.5" customHeight="1" x14ac:dyDescent="0.35">
      <c r="A17" s="12" t="s">
        <v>14</v>
      </c>
      <c r="B17" s="13">
        <v>968.79</v>
      </c>
      <c r="C17" s="13">
        <v>6393.32</v>
      </c>
      <c r="D17" s="13">
        <v>13696.76</v>
      </c>
      <c r="E17" s="13">
        <v>18990.53</v>
      </c>
      <c r="F17" s="13">
        <v>20387.52</v>
      </c>
      <c r="G17" s="13">
        <v>76522.25</v>
      </c>
      <c r="H17" s="13">
        <v>153369.60999999999</v>
      </c>
      <c r="I17" s="13">
        <v>177828.56</v>
      </c>
      <c r="J17" s="13">
        <v>167803.69</v>
      </c>
      <c r="K17" s="13">
        <v>55523.92</v>
      </c>
      <c r="L17" s="13">
        <v>73656.77</v>
      </c>
      <c r="M17" s="13">
        <v>116466.03</v>
      </c>
      <c r="N17" s="13">
        <f t="shared" si="3"/>
        <v>881607.75000000012</v>
      </c>
    </row>
    <row r="18" spans="1:16" s="14" customFormat="1" ht="16.5" customHeight="1" x14ac:dyDescent="0.35">
      <c r="A18" s="15" t="s">
        <v>15</v>
      </c>
      <c r="B18" s="13">
        <v>794.27</v>
      </c>
      <c r="C18" s="13">
        <v>11058.67</v>
      </c>
      <c r="D18" s="13">
        <v>6702.23</v>
      </c>
      <c r="E18" s="13">
        <v>13761.32</v>
      </c>
      <c r="F18" s="13">
        <v>150</v>
      </c>
      <c r="G18" s="13"/>
      <c r="H18" s="13"/>
      <c r="I18" s="13"/>
      <c r="J18" s="13"/>
      <c r="K18" s="13"/>
      <c r="L18" s="13"/>
      <c r="M18" s="13"/>
      <c r="N18" s="13">
        <f t="shared" si="3"/>
        <v>32466.489999999998</v>
      </c>
    </row>
    <row r="19" spans="1:16" s="14" customFormat="1" ht="16.5" customHeight="1" x14ac:dyDescent="0.35">
      <c r="A19" s="15" t="s">
        <v>16</v>
      </c>
      <c r="B19" s="13">
        <f>23476.75+186367.26-B36</f>
        <v>158468.01</v>
      </c>
      <c r="C19" s="13">
        <f>0-C36+72139.63+18562.65+2412.5+145+143.78</f>
        <v>-31193.040000000001</v>
      </c>
      <c r="D19" s="13">
        <f>46400.01+39456.59-D36+3211.01+657.5+801.07</f>
        <v>5236.2400000000034</v>
      </c>
      <c r="E19" s="13">
        <f>29960.4+37348.67-E36+291.18+1700</f>
        <v>40247.850000000006</v>
      </c>
      <c r="F19" s="13">
        <f>206746.2+47472.23-F36+5651.43</f>
        <v>259869.86000000002</v>
      </c>
      <c r="G19" s="13">
        <f>17067.24+56422.37-G36+645.44+800</f>
        <v>-140092.25</v>
      </c>
      <c r="H19" s="13">
        <f>0-H36+395770.82+54752.94+5650.35+1100</f>
        <v>456616.99</v>
      </c>
      <c r="I19" s="13">
        <f>0-I36+483782.2+55820.9+5732.95+551.5</f>
        <v>306095.55000000005</v>
      </c>
      <c r="J19" s="13">
        <f>0-J36+230607.12+39384.77+4353.51+1130+3410.92+205996.55</f>
        <v>-388897.76999999996</v>
      </c>
      <c r="K19" s="13">
        <f>0-K36+102165.14+128680.9+13677.6+286.05</f>
        <v>58759.489999999983</v>
      </c>
      <c r="L19" s="13">
        <f>373517.19+35444.02-L36+1173.6+24597.5</f>
        <v>425320.02</v>
      </c>
      <c r="M19" s="13">
        <f>167598.62+70297.82-M36+5461.5+7659.17</f>
        <v>36087.060000000012</v>
      </c>
      <c r="N19" s="13">
        <f t="shared" si="3"/>
        <v>1186518.01</v>
      </c>
      <c r="P19" s="37"/>
    </row>
    <row r="20" spans="1:16" s="14" customFormat="1" ht="16.5" customHeight="1" x14ac:dyDescent="0.35">
      <c r="A20" s="12" t="s">
        <v>17</v>
      </c>
      <c r="B20" s="13">
        <v>5399.4</v>
      </c>
      <c r="C20" s="13">
        <v>3209.09</v>
      </c>
      <c r="D20" s="13">
        <v>3835</v>
      </c>
      <c r="E20" s="13">
        <v>6014.14</v>
      </c>
      <c r="F20" s="13">
        <v>8133.19</v>
      </c>
      <c r="G20" s="13">
        <v>10886.51</v>
      </c>
      <c r="H20" s="13">
        <v>8969.74</v>
      </c>
      <c r="I20" s="13">
        <v>6568.37</v>
      </c>
      <c r="J20" s="13">
        <v>8483.5</v>
      </c>
      <c r="K20" s="13">
        <v>9046.42</v>
      </c>
      <c r="L20" s="13">
        <v>13093.07</v>
      </c>
      <c r="M20" s="13">
        <v>10112.85</v>
      </c>
      <c r="N20" s="13">
        <f t="shared" si="3"/>
        <v>93751.28</v>
      </c>
    </row>
    <row r="21" spans="1:16" s="14" customFormat="1" ht="16.5" customHeight="1" x14ac:dyDescent="0.35">
      <c r="A21" s="15" t="s">
        <v>18</v>
      </c>
      <c r="B21" s="13">
        <v>32087.42</v>
      </c>
      <c r="C21" s="13">
        <v>29712.39</v>
      </c>
      <c r="D21" s="13">
        <v>27328.19</v>
      </c>
      <c r="E21" s="13">
        <v>22872.43</v>
      </c>
      <c r="F21" s="13">
        <v>32948.519999999997</v>
      </c>
      <c r="G21" s="13">
        <v>32349.360000000001</v>
      </c>
      <c r="H21" s="13">
        <v>27084.86</v>
      </c>
      <c r="I21" s="13">
        <v>26456.52</v>
      </c>
      <c r="J21" s="13">
        <v>23033.73</v>
      </c>
      <c r="K21" s="13">
        <v>24329.25</v>
      </c>
      <c r="L21" s="13">
        <v>32012.06</v>
      </c>
      <c r="M21" s="13">
        <v>41034.6</v>
      </c>
      <c r="N21" s="13">
        <f t="shared" si="3"/>
        <v>351249.32999999996</v>
      </c>
    </row>
    <row r="22" spans="1:16" s="14" customFormat="1" ht="16.5" customHeight="1" x14ac:dyDescent="0.35">
      <c r="A22" s="12" t="s">
        <v>64</v>
      </c>
      <c r="B22" s="13">
        <f>17821.78+20000.13</f>
        <v>37821.910000000003</v>
      </c>
      <c r="C22" s="13">
        <f>8414.64+9769.54</f>
        <v>18184.18</v>
      </c>
      <c r="D22" s="13">
        <v>39830.019999999997</v>
      </c>
      <c r="E22" s="13">
        <v>21655.01</v>
      </c>
      <c r="F22" s="13">
        <v>14043.08</v>
      </c>
      <c r="G22" s="13">
        <v>10968.09</v>
      </c>
      <c r="H22" s="13">
        <v>16340.09</v>
      </c>
      <c r="I22" s="13">
        <v>21339.85</v>
      </c>
      <c r="J22" s="13">
        <v>14225.9</v>
      </c>
      <c r="K22" s="13">
        <v>13146.46</v>
      </c>
      <c r="L22" s="13">
        <v>12728.62</v>
      </c>
      <c r="M22" s="13">
        <v>14715.7</v>
      </c>
      <c r="N22" s="13">
        <f t="shared" si="3"/>
        <v>234998.90999999997</v>
      </c>
    </row>
    <row r="23" spans="1:16" s="14" customFormat="1" ht="16.5" customHeight="1" x14ac:dyDescent="0.35">
      <c r="A23" s="15" t="s">
        <v>20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>
        <f t="shared" si="3"/>
        <v>0</v>
      </c>
    </row>
    <row r="24" spans="1:16" s="14" customFormat="1" ht="16.5" customHeight="1" x14ac:dyDescent="0.35">
      <c r="A24" s="15" t="s">
        <v>21</v>
      </c>
      <c r="B24" s="13"/>
      <c r="C24" s="13"/>
      <c r="D24" s="13"/>
      <c r="E24" s="13">
        <v>145300</v>
      </c>
      <c r="F24" s="13">
        <v>164000</v>
      </c>
      <c r="G24" s="13">
        <v>165444</v>
      </c>
      <c r="H24" s="13">
        <v>163100</v>
      </c>
      <c r="I24" s="13">
        <v>164800</v>
      </c>
      <c r="J24" s="13">
        <v>200900</v>
      </c>
      <c r="K24" s="13">
        <v>403996.6</v>
      </c>
      <c r="L24" s="13">
        <v>217500</v>
      </c>
      <c r="M24" s="13"/>
      <c r="N24" s="13">
        <f t="shared" si="3"/>
        <v>1625040.6</v>
      </c>
    </row>
    <row r="25" spans="1:16" s="14" customFormat="1" ht="16.5" customHeight="1" x14ac:dyDescent="0.35">
      <c r="A25" s="15" t="s">
        <v>22</v>
      </c>
      <c r="B25" s="13">
        <f>0-B24</f>
        <v>0</v>
      </c>
      <c r="C25" s="13"/>
      <c r="D25" s="13"/>
      <c r="E25" s="13"/>
      <c r="F25" s="13">
        <v>300</v>
      </c>
      <c r="G25" s="13">
        <v>150</v>
      </c>
      <c r="H25" s="13">
        <v>300</v>
      </c>
      <c r="I25" s="13">
        <v>450</v>
      </c>
      <c r="J25" s="13"/>
      <c r="K25" s="13">
        <v>300</v>
      </c>
      <c r="L25" s="13"/>
      <c r="M25" s="13">
        <v>236950</v>
      </c>
      <c r="N25" s="13">
        <f t="shared" si="3"/>
        <v>238450</v>
      </c>
    </row>
    <row r="26" spans="1:16" s="14" customFormat="1" ht="16.5" customHeight="1" x14ac:dyDescent="0.35">
      <c r="A26" s="15" t="s">
        <v>23</v>
      </c>
      <c r="B26" s="13">
        <v>1994.76</v>
      </c>
      <c r="C26" s="13">
        <v>66558.45</v>
      </c>
      <c r="D26" s="13"/>
      <c r="E26" s="13"/>
      <c r="F26" s="13"/>
      <c r="G26" s="13">
        <v>31140.74</v>
      </c>
      <c r="H26" s="13">
        <v>10380.25</v>
      </c>
      <c r="I26" s="13">
        <v>8368.56</v>
      </c>
      <c r="J26" s="13">
        <v>2816.15</v>
      </c>
      <c r="K26" s="13">
        <v>4048.27</v>
      </c>
      <c r="L26" s="13">
        <v>3617.94</v>
      </c>
      <c r="M26" s="13">
        <v>5221.43</v>
      </c>
      <c r="N26" s="13">
        <f t="shared" si="3"/>
        <v>134146.54999999999</v>
      </c>
    </row>
    <row r="27" spans="1:16" s="14" customFormat="1" ht="16.5" customHeight="1" x14ac:dyDescent="0.35">
      <c r="A27" s="15" t="s">
        <v>24</v>
      </c>
      <c r="B27" s="13">
        <v>4617.45</v>
      </c>
      <c r="C27" s="13">
        <v>2783.14</v>
      </c>
      <c r="D27" s="13">
        <v>4881.03</v>
      </c>
      <c r="E27" s="13">
        <v>88.07</v>
      </c>
      <c r="F27" s="13">
        <v>1307.08</v>
      </c>
      <c r="G27" s="13">
        <v>998.57</v>
      </c>
      <c r="H27" s="13">
        <v>1000</v>
      </c>
      <c r="I27" s="13">
        <v>1901.41</v>
      </c>
      <c r="J27" s="13">
        <v>1162.55</v>
      </c>
      <c r="K27" s="13">
        <v>1130.03</v>
      </c>
      <c r="L27" s="13">
        <v>972.23</v>
      </c>
      <c r="M27" s="13">
        <v>1000</v>
      </c>
      <c r="N27" s="13">
        <f t="shared" si="3"/>
        <v>21841.559999999998</v>
      </c>
    </row>
    <row r="28" spans="1:16" s="14" customFormat="1" ht="16.5" customHeight="1" x14ac:dyDescent="0.35">
      <c r="A28" s="12" t="s">
        <v>25</v>
      </c>
      <c r="B28" s="13">
        <v>251.77</v>
      </c>
      <c r="C28" s="13">
        <v>366266.34</v>
      </c>
      <c r="D28" s="13">
        <v>264.18</v>
      </c>
      <c r="E28" s="20">
        <v>31250.21</v>
      </c>
      <c r="F28" s="13">
        <v>47480.19</v>
      </c>
      <c r="G28" s="13">
        <v>190539.12</v>
      </c>
      <c r="H28" s="13">
        <v>2764.18</v>
      </c>
      <c r="I28" s="13">
        <v>67618.94</v>
      </c>
      <c r="J28" s="13">
        <v>17135.79</v>
      </c>
      <c r="K28" s="13">
        <v>49829.03</v>
      </c>
      <c r="L28" s="13">
        <v>-23606.16</v>
      </c>
      <c r="M28" s="13">
        <v>280.94</v>
      </c>
      <c r="N28" s="13">
        <f t="shared" si="3"/>
        <v>750074.53000000014</v>
      </c>
    </row>
    <row r="29" spans="1:16" s="14" customFormat="1" ht="16.5" customHeight="1" x14ac:dyDescent="0.35">
      <c r="A29" s="15" t="s">
        <v>26</v>
      </c>
      <c r="B29" s="13">
        <f>8445+67422.25</f>
        <v>75867.25</v>
      </c>
      <c r="C29" s="13">
        <v>45406.16</v>
      </c>
      <c r="D29" s="13">
        <f>20410+82285.14</f>
        <v>102695.14</v>
      </c>
      <c r="E29" s="13">
        <f>11417.78+9839.3</f>
        <v>21257.08</v>
      </c>
      <c r="F29" s="13">
        <f>14867.32+46062.22</f>
        <v>60929.54</v>
      </c>
      <c r="G29" s="13">
        <f>45311.31+45883.28</f>
        <v>91194.59</v>
      </c>
      <c r="H29" s="13">
        <f>88145.13+45883.28</f>
        <v>134028.41</v>
      </c>
      <c r="I29" s="13">
        <f>42375.8+45883.28</f>
        <v>88259.08</v>
      </c>
      <c r="J29" s="13">
        <f>17986.6+45883.28</f>
        <v>63869.88</v>
      </c>
      <c r="K29" s="13">
        <f>83081.38+49170.08</f>
        <v>132251.46000000002</v>
      </c>
      <c r="L29" s="13">
        <f>19448.15+51233.35</f>
        <v>70681.5</v>
      </c>
      <c r="M29" s="13">
        <f>27967.15+79391.92</f>
        <v>107359.07</v>
      </c>
      <c r="N29" s="13">
        <f t="shared" si="3"/>
        <v>993799.16000000015</v>
      </c>
    </row>
    <row r="30" spans="1:16" s="14" customFormat="1" ht="16.5" customHeight="1" x14ac:dyDescent="0.35">
      <c r="A30" s="15" t="s">
        <v>27</v>
      </c>
      <c r="B30" s="13">
        <v>30756.61</v>
      </c>
      <c r="C30" s="13">
        <v>104081.11</v>
      </c>
      <c r="D30" s="13"/>
      <c r="E30" s="13">
        <v>14555.09</v>
      </c>
      <c r="F30" s="13">
        <v>15261.69</v>
      </c>
      <c r="G30" s="13">
        <v>16128.54</v>
      </c>
      <c r="H30" s="13">
        <f>23589.86+2000</f>
        <v>25589.86</v>
      </c>
      <c r="I30" s="13">
        <v>97086.13</v>
      </c>
      <c r="J30" s="13">
        <v>-30107.08</v>
      </c>
      <c r="K30" s="13">
        <v>29227.48</v>
      </c>
      <c r="L30" s="13">
        <v>25479.279999999999</v>
      </c>
      <c r="M30" s="13">
        <v>41300.04</v>
      </c>
      <c r="N30" s="13">
        <f t="shared" si="3"/>
        <v>369358.74999999994</v>
      </c>
    </row>
    <row r="31" spans="1:16" s="14" customFormat="1" ht="16.5" customHeight="1" x14ac:dyDescent="0.35">
      <c r="A31" s="15" t="s">
        <v>28</v>
      </c>
      <c r="B31" s="13">
        <v>3991.69</v>
      </c>
      <c r="C31" s="13">
        <v>1692.8</v>
      </c>
      <c r="D31" s="13">
        <v>2448.0300000000002</v>
      </c>
      <c r="E31" s="13">
        <v>1710.43</v>
      </c>
      <c r="F31" s="13">
        <v>1964.62</v>
      </c>
      <c r="G31" s="13">
        <v>1243.8</v>
      </c>
      <c r="H31" s="13">
        <v>2686.24</v>
      </c>
      <c r="I31" s="13">
        <v>1538.49</v>
      </c>
      <c r="J31" s="13">
        <v>1531.6</v>
      </c>
      <c r="K31" s="13">
        <v>2111.13</v>
      </c>
      <c r="L31" s="13">
        <v>1819.07</v>
      </c>
      <c r="M31" s="13">
        <v>3196.16</v>
      </c>
      <c r="N31" s="13">
        <f t="shared" si="3"/>
        <v>25934.059999999998</v>
      </c>
    </row>
    <row r="32" spans="1:16" s="14" customFormat="1" ht="16.5" customHeight="1" x14ac:dyDescent="0.35">
      <c r="A32" s="12" t="s">
        <v>29</v>
      </c>
      <c r="B32" s="13"/>
      <c r="C32" s="13"/>
      <c r="D32" s="13"/>
      <c r="E32" s="13"/>
      <c r="F32" s="13"/>
      <c r="G32" s="13">
        <v>0</v>
      </c>
      <c r="H32" s="13">
        <v>39054.74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f t="shared" si="3"/>
        <v>39054.74</v>
      </c>
    </row>
    <row r="33" spans="1:14" s="14" customFormat="1" ht="16.5" customHeight="1" x14ac:dyDescent="0.35">
      <c r="A33" s="12" t="s">
        <v>30</v>
      </c>
      <c r="B33" s="13">
        <v>136924.20000000001</v>
      </c>
      <c r="C33" s="13">
        <v>510814.16</v>
      </c>
      <c r="D33" s="13">
        <v>31823.08</v>
      </c>
      <c r="E33" s="13">
        <v>135357.99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50000</v>
      </c>
      <c r="L33" s="13">
        <v>0</v>
      </c>
      <c r="M33" s="13">
        <v>122384.46</v>
      </c>
      <c r="N33" s="13">
        <f t="shared" si="3"/>
        <v>987303.8899999999</v>
      </c>
    </row>
    <row r="34" spans="1:14" ht="16.5" customHeight="1" x14ac:dyDescent="0.25">
      <c r="F34" s="21"/>
    </row>
    <row r="35" spans="1:14" ht="16.5" customHeight="1" x14ac:dyDescent="0.3">
      <c r="A35" s="18" t="s">
        <v>31</v>
      </c>
      <c r="B35" s="8" t="s">
        <v>4</v>
      </c>
    </row>
    <row r="36" spans="1:14" s="11" customFormat="1" ht="16.5" customHeight="1" x14ac:dyDescent="0.35">
      <c r="A36" s="9" t="s">
        <v>32</v>
      </c>
      <c r="B36" s="10">
        <f t="shared" ref="B36:N36" si="4">SUM(B37:B46)</f>
        <v>51376</v>
      </c>
      <c r="C36" s="10">
        <f t="shared" si="4"/>
        <v>124596.6</v>
      </c>
      <c r="D36" s="10">
        <f t="shared" si="4"/>
        <v>85289.94</v>
      </c>
      <c r="E36" s="10">
        <f t="shared" si="4"/>
        <v>29052.400000000001</v>
      </c>
      <c r="F36" s="10">
        <f t="shared" si="4"/>
        <v>0</v>
      </c>
      <c r="G36" s="10">
        <f t="shared" si="4"/>
        <v>215027.3</v>
      </c>
      <c r="H36" s="10">
        <f t="shared" si="4"/>
        <v>657.12</v>
      </c>
      <c r="I36" s="10">
        <f t="shared" si="4"/>
        <v>239792</v>
      </c>
      <c r="J36" s="10">
        <f t="shared" si="4"/>
        <v>873780.64</v>
      </c>
      <c r="K36" s="10">
        <f t="shared" si="4"/>
        <v>186050.2</v>
      </c>
      <c r="L36" s="10">
        <f t="shared" si="4"/>
        <v>9412.2899999999991</v>
      </c>
      <c r="M36" s="10">
        <f t="shared" si="4"/>
        <v>214930.05</v>
      </c>
      <c r="N36" s="10">
        <f t="shared" si="4"/>
        <v>2029964.5400000003</v>
      </c>
    </row>
    <row r="37" spans="1:14" s="14" customFormat="1" ht="16.5" customHeight="1" x14ac:dyDescent="0.35">
      <c r="A37" s="15" t="s">
        <v>33</v>
      </c>
      <c r="B37" s="13"/>
      <c r="C37" s="13">
        <v>7750</v>
      </c>
      <c r="D37" s="13">
        <v>19884.5</v>
      </c>
      <c r="E37" s="13"/>
      <c r="F37" s="13"/>
      <c r="G37" s="13">
        <v>2586</v>
      </c>
      <c r="H37" s="13"/>
      <c r="I37" s="13"/>
      <c r="J37" s="13">
        <v>27628.32</v>
      </c>
      <c r="K37" s="13">
        <v>14860</v>
      </c>
      <c r="L37" s="13"/>
      <c r="M37" s="13">
        <v>17372</v>
      </c>
      <c r="N37" s="13">
        <f t="shared" ref="N37:N46" si="5">SUM(B37:M37)</f>
        <v>90080.82</v>
      </c>
    </row>
    <row r="38" spans="1:14" s="14" customFormat="1" ht="16.5" customHeight="1" x14ac:dyDescent="0.35">
      <c r="A38" s="15" t="s">
        <v>34</v>
      </c>
      <c r="B38" s="13"/>
      <c r="C38" s="13"/>
      <c r="D38" s="13"/>
      <c r="E38" s="13"/>
      <c r="F38" s="13"/>
      <c r="G38" s="13"/>
      <c r="H38" s="13"/>
      <c r="I38" s="13">
        <v>3749</v>
      </c>
      <c r="J38" s="13">
        <v>3916</v>
      </c>
      <c r="K38" s="13"/>
      <c r="L38" s="13"/>
      <c r="M38" s="13"/>
      <c r="N38" s="13">
        <f t="shared" si="5"/>
        <v>7665</v>
      </c>
    </row>
    <row r="39" spans="1:14" s="14" customFormat="1" ht="16.5" customHeight="1" x14ac:dyDescent="0.35">
      <c r="A39" s="15" t="s">
        <v>35</v>
      </c>
      <c r="B39" s="13"/>
      <c r="C39" s="13">
        <v>6720</v>
      </c>
      <c r="D39" s="13"/>
      <c r="E39" s="13"/>
      <c r="F39" s="13"/>
      <c r="G39" s="13">
        <v>192278.9</v>
      </c>
      <c r="H39" s="13">
        <v>657.12</v>
      </c>
      <c r="I39" s="13">
        <v>1344</v>
      </c>
      <c r="J39" s="13">
        <v>67534.8</v>
      </c>
      <c r="K39" s="13">
        <v>16910.63</v>
      </c>
      <c r="L39" s="13">
        <v>5374.48</v>
      </c>
      <c r="M39" s="13">
        <v>41350</v>
      </c>
      <c r="N39" s="13">
        <f t="shared" si="5"/>
        <v>332169.93</v>
      </c>
    </row>
    <row r="40" spans="1:14" s="14" customFormat="1" ht="16.5" customHeight="1" x14ac:dyDescent="0.35">
      <c r="A40" s="15" t="s">
        <v>36</v>
      </c>
      <c r="B40" s="13"/>
      <c r="C40" s="13"/>
      <c r="D40" s="13"/>
      <c r="E40" s="13"/>
      <c r="F40" s="13"/>
      <c r="G40" s="13"/>
      <c r="H40" s="13"/>
      <c r="I40" s="13">
        <v>2700</v>
      </c>
      <c r="J40" s="13"/>
      <c r="K40" s="13"/>
      <c r="L40" s="13"/>
      <c r="M40" s="13">
        <v>1933.31</v>
      </c>
      <c r="N40" s="13">
        <f t="shared" si="5"/>
        <v>4633.3099999999995</v>
      </c>
    </row>
    <row r="41" spans="1:14" s="14" customFormat="1" ht="16.5" customHeight="1" x14ac:dyDescent="0.35">
      <c r="A41" s="15" t="s">
        <v>37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>
        <f t="shared" si="5"/>
        <v>0</v>
      </c>
    </row>
    <row r="42" spans="1:14" s="14" customFormat="1" ht="16.5" customHeight="1" x14ac:dyDescent="0.35">
      <c r="A42" s="15" t="s">
        <v>38</v>
      </c>
      <c r="B42" s="13">
        <v>51376</v>
      </c>
      <c r="C42" s="13">
        <v>110126.6</v>
      </c>
      <c r="D42" s="13">
        <v>51580.44</v>
      </c>
      <c r="E42" s="13">
        <v>29052.400000000001</v>
      </c>
      <c r="F42" s="13"/>
      <c r="G42" s="13">
        <v>20162.400000000001</v>
      </c>
      <c r="H42" s="13"/>
      <c r="I42" s="13">
        <v>231640</v>
      </c>
      <c r="J42" s="13">
        <v>546137.06000000006</v>
      </c>
      <c r="K42" s="13">
        <v>136814.63</v>
      </c>
      <c r="L42" s="13">
        <v>3900</v>
      </c>
      <c r="M42" s="13">
        <v>154274.74</v>
      </c>
      <c r="N42" s="13">
        <f t="shared" si="5"/>
        <v>1335064.2700000003</v>
      </c>
    </row>
    <row r="43" spans="1:14" s="14" customFormat="1" ht="16.5" customHeight="1" x14ac:dyDescent="0.35">
      <c r="A43" s="15" t="s">
        <v>39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>
        <f t="shared" si="5"/>
        <v>0</v>
      </c>
    </row>
    <row r="44" spans="1:14" s="14" customFormat="1" ht="16.5" customHeight="1" x14ac:dyDescent="0.35">
      <c r="A44" s="15" t="s">
        <v>40</v>
      </c>
      <c r="B44" s="13"/>
      <c r="C44" s="13"/>
      <c r="D44" s="13">
        <v>13825</v>
      </c>
      <c r="E44" s="13"/>
      <c r="F44" s="13"/>
      <c r="G44" s="13"/>
      <c r="H44" s="13"/>
      <c r="I44" s="13">
        <v>359</v>
      </c>
      <c r="J44" s="13">
        <v>958</v>
      </c>
      <c r="K44" s="13">
        <v>17464.939999999999</v>
      </c>
      <c r="L44" s="13">
        <v>137.81</v>
      </c>
      <c r="M44" s="13"/>
      <c r="N44" s="13">
        <f t="shared" si="5"/>
        <v>32744.75</v>
      </c>
    </row>
    <row r="45" spans="1:14" s="14" customFormat="1" ht="16.5" customHeight="1" x14ac:dyDescent="0.35">
      <c r="A45" s="15" t="s">
        <v>65</v>
      </c>
      <c r="B45" s="13"/>
      <c r="C45" s="13"/>
      <c r="D45" s="13"/>
      <c r="E45" s="13"/>
      <c r="F45" s="13"/>
      <c r="G45" s="13"/>
      <c r="H45" s="13"/>
      <c r="I45" s="13"/>
      <c r="J45" s="13">
        <v>227606.46</v>
      </c>
      <c r="K45" s="13"/>
      <c r="L45" s="13"/>
      <c r="M45" s="13"/>
      <c r="N45" s="13">
        <f t="shared" si="5"/>
        <v>227606.46</v>
      </c>
    </row>
    <row r="46" spans="1:14" s="14" customFormat="1" ht="16.5" customHeight="1" x14ac:dyDescent="0.35">
      <c r="A46" s="15" t="s">
        <v>66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>
        <f t="shared" si="5"/>
        <v>0</v>
      </c>
    </row>
    <row r="47" spans="1:14" ht="16.5" customHeight="1" x14ac:dyDescent="0.3">
      <c r="B47" s="8" t="s">
        <v>4</v>
      </c>
      <c r="K47" s="38"/>
    </row>
    <row r="48" spans="1:14" s="24" customFormat="1" ht="16.5" customHeight="1" x14ac:dyDescent="0.25">
      <c r="A48" s="22" t="s">
        <v>42</v>
      </c>
      <c r="B48" s="23">
        <f t="shared" ref="B48:M48" si="6">+B4+B7-B14-B36</f>
        <v>36207094.899999999</v>
      </c>
      <c r="C48" s="23">
        <f t="shared" si="6"/>
        <v>32400745.41</v>
      </c>
      <c r="D48" s="23">
        <f t="shared" si="6"/>
        <v>30958218.299999997</v>
      </c>
      <c r="E48" s="23">
        <f t="shared" si="6"/>
        <v>30385630.739999998</v>
      </c>
      <c r="F48" s="23">
        <f t="shared" si="6"/>
        <v>30457361.719999999</v>
      </c>
      <c r="G48" s="23">
        <f t="shared" si="6"/>
        <v>30008772.059999999</v>
      </c>
      <c r="H48" s="23">
        <f t="shared" si="6"/>
        <v>29350444.199999996</v>
      </c>
      <c r="I48" s="23">
        <f t="shared" si="6"/>
        <v>28338392.479999997</v>
      </c>
      <c r="J48" s="23">
        <f t="shared" si="6"/>
        <v>27263820.349999994</v>
      </c>
      <c r="K48" s="23">
        <f t="shared" si="6"/>
        <v>25616128.739999998</v>
      </c>
      <c r="L48" s="23">
        <f t="shared" si="6"/>
        <v>21774904.219999999</v>
      </c>
      <c r="M48" s="23">
        <f t="shared" si="6"/>
        <v>30197493.599999998</v>
      </c>
      <c r="N48" s="23">
        <f>N4+N7-N14-N36</f>
        <v>30197493.599999994</v>
      </c>
    </row>
    <row r="49" spans="1:14" ht="16.5" customHeight="1" x14ac:dyDescent="0.25">
      <c r="B49" s="26">
        <v>36207094.899999999</v>
      </c>
      <c r="C49" s="26">
        <v>32400745.41</v>
      </c>
      <c r="D49" s="26">
        <v>30958218.300000001</v>
      </c>
      <c r="E49" s="26">
        <v>30385630.739999998</v>
      </c>
      <c r="F49" s="26">
        <v>30457361.719999999</v>
      </c>
      <c r="G49" s="26">
        <v>30008772.059999999</v>
      </c>
      <c r="H49" s="26">
        <v>29350444.199999999</v>
      </c>
      <c r="I49" s="26">
        <v>28338392.48</v>
      </c>
      <c r="J49" s="39">
        <v>27263820.350000001</v>
      </c>
      <c r="K49" s="26">
        <v>25616128.739999998</v>
      </c>
      <c r="L49" s="26">
        <v>21774904.219999999</v>
      </c>
      <c r="M49" s="39">
        <v>30197493.600000001</v>
      </c>
      <c r="N49" s="26">
        <f>M49</f>
        <v>30197493.600000001</v>
      </c>
    </row>
    <row r="50" spans="1:14" ht="16.5" customHeight="1" x14ac:dyDescent="0.3">
      <c r="B50" s="40">
        <f t="shared" ref="B50:N50" si="7">+B48-B49</f>
        <v>0</v>
      </c>
      <c r="C50" s="40">
        <f t="shared" si="7"/>
        <v>0</v>
      </c>
      <c r="D50" s="40">
        <f t="shared" si="7"/>
        <v>0</v>
      </c>
      <c r="E50" s="40">
        <f t="shared" si="7"/>
        <v>0</v>
      </c>
      <c r="F50" s="40">
        <f t="shared" si="7"/>
        <v>0</v>
      </c>
      <c r="G50" s="40">
        <f t="shared" si="7"/>
        <v>0</v>
      </c>
      <c r="H50" s="40">
        <f t="shared" si="7"/>
        <v>0</v>
      </c>
      <c r="I50" s="40">
        <f t="shared" si="7"/>
        <v>0</v>
      </c>
      <c r="J50" s="40">
        <f t="shared" si="7"/>
        <v>0</v>
      </c>
      <c r="K50" s="40">
        <f t="shared" si="7"/>
        <v>0</v>
      </c>
      <c r="L50" s="40">
        <f t="shared" si="7"/>
        <v>0</v>
      </c>
      <c r="M50" s="40">
        <f t="shared" si="7"/>
        <v>0</v>
      </c>
      <c r="N50" s="40">
        <f t="shared" si="7"/>
        <v>0</v>
      </c>
    </row>
    <row r="51" spans="1:14" ht="16.5" customHeight="1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</row>
    <row r="52" spans="1:14" ht="16.5" customHeight="1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</row>
    <row r="53" spans="1:14" ht="16.5" customHeight="1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</row>
    <row r="54" spans="1:14" ht="16.5" customHeight="1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</row>
    <row r="55" spans="1:14" ht="16.5" customHeight="1" x14ac:dyDescent="0.25">
      <c r="A55" s="27"/>
      <c r="B55" s="26"/>
      <c r="C55" s="28"/>
      <c r="D55" s="28"/>
      <c r="E55" s="28"/>
      <c r="F55" s="26"/>
    </row>
    <row r="56" spans="1:14" ht="16.5" customHeight="1" x14ac:dyDescent="0.35">
      <c r="A56" s="29" t="s">
        <v>43</v>
      </c>
      <c r="C56" s="30" t="s">
        <v>44</v>
      </c>
      <c r="E56" s="30"/>
      <c r="H56" s="31"/>
    </row>
    <row r="57" spans="1:14" ht="16.5" customHeight="1" x14ac:dyDescent="0.35">
      <c r="A57" s="30" t="s">
        <v>45</v>
      </c>
      <c r="C57" s="30" t="s">
        <v>46</v>
      </c>
      <c r="E57" s="30"/>
    </row>
    <row r="58" spans="1:14" ht="16.5" customHeight="1" x14ac:dyDescent="0.25">
      <c r="F58" s="32"/>
    </row>
    <row r="59" spans="1:14" ht="16.5" customHeight="1" x14ac:dyDescent="0.25">
      <c r="F59" s="32"/>
      <c r="G59" s="26"/>
      <c r="H59" s="26"/>
    </row>
    <row r="60" spans="1:14" ht="16.5" customHeight="1" x14ac:dyDescent="0.25">
      <c r="F60" s="32"/>
      <c r="G60" s="26"/>
      <c r="H60" s="26"/>
    </row>
    <row r="61" spans="1:14" ht="16.5" customHeight="1" x14ac:dyDescent="0.25">
      <c r="F61" s="32"/>
      <c r="G61" s="26"/>
      <c r="H61" s="26"/>
    </row>
    <row r="62" spans="1:14" ht="16.5" customHeight="1" x14ac:dyDescent="0.25">
      <c r="F62" s="32"/>
      <c r="G62" s="26"/>
      <c r="H62" s="26"/>
    </row>
    <row r="63" spans="1:14" ht="16.5" customHeight="1" x14ac:dyDescent="0.25">
      <c r="F63" s="32"/>
      <c r="G63" s="26"/>
      <c r="H63" s="26"/>
    </row>
    <row r="64" spans="1:14" ht="16.5" customHeight="1" x14ac:dyDescent="0.25">
      <c r="F64" s="32"/>
      <c r="G64" s="26"/>
      <c r="H64" s="26"/>
    </row>
    <row r="65" spans="6:8" ht="16.5" customHeight="1" x14ac:dyDescent="0.25">
      <c r="F65" s="32"/>
      <c r="G65" s="26"/>
      <c r="H65" s="26"/>
    </row>
    <row r="66" spans="6:8" ht="16.5" customHeight="1" x14ac:dyDescent="0.25">
      <c r="F66" s="32"/>
      <c r="G66" s="26"/>
      <c r="H66" s="26"/>
    </row>
    <row r="67" spans="6:8" ht="16.5" customHeight="1" x14ac:dyDescent="0.25">
      <c r="F67" s="32"/>
      <c r="G67" s="26"/>
      <c r="H67" s="26"/>
    </row>
    <row r="68" spans="6:8" ht="16.5" customHeight="1" x14ac:dyDescent="0.25">
      <c r="F68" s="32"/>
    </row>
    <row r="69" spans="6:8" ht="16.5" customHeight="1" x14ac:dyDescent="0.25">
      <c r="F69" s="32"/>
    </row>
    <row r="70" spans="6:8" ht="16.5" customHeight="1" x14ac:dyDescent="0.25">
      <c r="F70" s="32"/>
    </row>
    <row r="71" spans="6:8" ht="16.5" customHeight="1" x14ac:dyDescent="0.25">
      <c r="F71" s="32"/>
    </row>
    <row r="72" spans="6:8" ht="16.5" customHeight="1" x14ac:dyDescent="0.25">
      <c r="F72" s="32"/>
    </row>
    <row r="73" spans="6:8" ht="16.5" customHeight="1" x14ac:dyDescent="0.25">
      <c r="F73" s="32"/>
    </row>
    <row r="74" spans="6:8" ht="16.5" customHeight="1" x14ac:dyDescent="0.25">
      <c r="F74" s="32"/>
    </row>
    <row r="75" spans="6:8" ht="16.5" customHeight="1" x14ac:dyDescent="0.25">
      <c r="F75" s="32"/>
    </row>
    <row r="76" spans="6:8" ht="16.5" customHeight="1" x14ac:dyDescent="0.25">
      <c r="F76" s="32"/>
    </row>
    <row r="77" spans="6:8" ht="16.5" customHeight="1" x14ac:dyDescent="0.25">
      <c r="F77" s="32"/>
    </row>
    <row r="78" spans="6:8" ht="16.5" customHeight="1" x14ac:dyDescent="0.25">
      <c r="F78" s="32"/>
    </row>
    <row r="79" spans="6:8" ht="16.5" customHeight="1" x14ac:dyDescent="0.25">
      <c r="F79" s="32"/>
    </row>
    <row r="80" spans="6:8" ht="16.5" customHeight="1" x14ac:dyDescent="0.25">
      <c r="F80" s="32"/>
    </row>
    <row r="81" spans="6:6" ht="16.5" customHeight="1" x14ac:dyDescent="0.25">
      <c r="F81" s="32"/>
    </row>
    <row r="82" spans="6:6" ht="16.5" customHeight="1" x14ac:dyDescent="0.25">
      <c r="F82" s="32"/>
    </row>
    <row r="83" spans="6:6" ht="16.5" customHeight="1" x14ac:dyDescent="0.25">
      <c r="F83" s="32"/>
    </row>
    <row r="84" spans="6:6" ht="16.5" customHeight="1" x14ac:dyDescent="0.25">
      <c r="F84" s="32"/>
    </row>
    <row r="85" spans="6:6" ht="16.5" customHeight="1" x14ac:dyDescent="0.25">
      <c r="F85" s="32"/>
    </row>
    <row r="86" spans="6:6" ht="16.5" customHeight="1" x14ac:dyDescent="0.25">
      <c r="F86" s="32"/>
    </row>
    <row r="87" spans="6:6" ht="16.5" customHeight="1" x14ac:dyDescent="0.25">
      <c r="F87" s="32"/>
    </row>
    <row r="88" spans="6:6" ht="16.5" customHeight="1" x14ac:dyDescent="0.25">
      <c r="F88" s="32"/>
    </row>
    <row r="89" spans="6:6" ht="16.5" customHeight="1" x14ac:dyDescent="0.25">
      <c r="F89" s="32"/>
    </row>
    <row r="90" spans="6:6" ht="16.5" customHeight="1" x14ac:dyDescent="0.25">
      <c r="F90" s="32"/>
    </row>
  </sheetData>
  <mergeCells count="1">
    <mergeCell ref="B1:N1"/>
  </mergeCells>
  <printOptions horizontalCentered="1"/>
  <pageMargins left="0.15763888888888899" right="0.27569444444444402" top="0.35416666666666702" bottom="0.35416666666666702" header="0.511811023622047" footer="0.511811023622047"/>
  <pageSetup paperSize="9" orientation="landscape" horizontalDpi="300" verticalDpi="30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FF"/>
    <pageSetUpPr fitToPage="1"/>
  </sheetPr>
  <dimension ref="A1:AMJ88"/>
  <sheetViews>
    <sheetView showGridLines="0" zoomScale="90" zoomScaleNormal="90" workbookViewId="0">
      <pane xSplit="1" ySplit="4" topLeftCell="F5" activePane="bottomRight" state="frozen"/>
      <selection pane="topRight" activeCell="F1" sqref="F1"/>
      <selection pane="bottomLeft" activeCell="A5" sqref="A5"/>
      <selection pane="bottomRight" activeCell="B5" sqref="B5"/>
    </sheetView>
  </sheetViews>
  <sheetFormatPr defaultColWidth="9.1796875" defaultRowHeight="12.5" x14ac:dyDescent="0.25"/>
  <cols>
    <col min="1" max="1" width="58.7265625" style="1" customWidth="1"/>
    <col min="2" max="2" width="15" style="1" customWidth="1"/>
    <col min="3" max="13" width="15.1796875" style="1" customWidth="1"/>
    <col min="14" max="14" width="20" style="1" customWidth="1"/>
    <col min="15" max="1024" width="9.1796875" style="1"/>
  </cols>
  <sheetData>
    <row r="1" spans="1:14" ht="67.5" customHeight="1" x14ac:dyDescent="0.25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67.5" customHeight="1" x14ac:dyDescent="0.25"/>
    <row r="3" spans="1:14" ht="16.5" customHeight="1" x14ac:dyDescent="0.35">
      <c r="B3" s="6">
        <v>44562</v>
      </c>
      <c r="C3" s="6">
        <v>44593</v>
      </c>
      <c r="D3" s="6">
        <v>44621</v>
      </c>
      <c r="E3" s="6">
        <v>44652</v>
      </c>
      <c r="F3" s="6">
        <v>44682</v>
      </c>
      <c r="G3" s="6">
        <v>44713</v>
      </c>
      <c r="H3" s="6">
        <v>44743</v>
      </c>
      <c r="I3" s="6">
        <v>44774</v>
      </c>
      <c r="J3" s="6">
        <v>44805</v>
      </c>
      <c r="K3" s="6">
        <v>44835</v>
      </c>
      <c r="L3" s="6">
        <v>44866</v>
      </c>
      <c r="M3" s="6">
        <v>44896</v>
      </c>
      <c r="N3" s="6" t="s">
        <v>47</v>
      </c>
    </row>
    <row r="4" spans="1:14" ht="16.5" customHeight="1" x14ac:dyDescent="0.3">
      <c r="A4" s="33" t="s">
        <v>48</v>
      </c>
      <c r="B4" s="34">
        <f>'Quadrimestral Consolidado'!B4</f>
        <v>41064162.920000002</v>
      </c>
      <c r="C4" s="34">
        <f t="shared" ref="C4:M4" si="0">B46</f>
        <v>36207094.899999999</v>
      </c>
      <c r="D4" s="34">
        <f t="shared" si="0"/>
        <v>32400745.410000004</v>
      </c>
      <c r="E4" s="34">
        <f t="shared" si="0"/>
        <v>30958218.300000004</v>
      </c>
      <c r="F4" s="34">
        <f t="shared" si="0"/>
        <v>30385630.740000002</v>
      </c>
      <c r="G4" s="34">
        <f t="shared" si="0"/>
        <v>30457361.720000003</v>
      </c>
      <c r="H4" s="34">
        <f t="shared" si="0"/>
        <v>30008772.060000006</v>
      </c>
      <c r="I4" s="34">
        <f t="shared" si="0"/>
        <v>29350444.200000007</v>
      </c>
      <c r="J4" s="34">
        <f t="shared" si="0"/>
        <v>28338392.480000008</v>
      </c>
      <c r="K4" s="34">
        <f t="shared" si="0"/>
        <v>27263820.350000009</v>
      </c>
      <c r="L4" s="34">
        <f t="shared" si="0"/>
        <v>25616128.74000001</v>
      </c>
      <c r="M4" s="34">
        <f t="shared" si="0"/>
        <v>21774904.220000006</v>
      </c>
      <c r="N4" s="34">
        <f>B4</f>
        <v>41064162.920000002</v>
      </c>
    </row>
    <row r="5" spans="1:14" ht="16.5" customHeight="1" x14ac:dyDescent="0.3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6.5" customHeight="1" x14ac:dyDescent="0.3">
      <c r="A6" s="35" t="s">
        <v>49</v>
      </c>
      <c r="B6" s="8" t="s">
        <v>4</v>
      </c>
    </row>
    <row r="7" spans="1:14" s="11" customFormat="1" ht="16.5" customHeight="1" x14ac:dyDescent="0.35">
      <c r="A7" s="9" t="s">
        <v>50</v>
      </c>
      <c r="B7" s="10">
        <f t="shared" ref="B7:M7" si="1">SUM(B8:B11)</f>
        <v>2375674.2600000002</v>
      </c>
      <c r="C7" s="10">
        <f t="shared" si="1"/>
        <v>2275859.9500000002</v>
      </c>
      <c r="D7" s="10">
        <f t="shared" si="1"/>
        <v>2301914.7400000002</v>
      </c>
      <c r="E7" s="10">
        <f t="shared" si="1"/>
        <v>2264795.56</v>
      </c>
      <c r="F7" s="10">
        <f t="shared" si="1"/>
        <v>3118977.38</v>
      </c>
      <c r="G7" s="10">
        <f t="shared" si="1"/>
        <v>3087407.4400000004</v>
      </c>
      <c r="H7" s="10">
        <f t="shared" si="1"/>
        <v>3331492.18</v>
      </c>
      <c r="I7" s="10">
        <f t="shared" si="1"/>
        <v>3097584.5100000002</v>
      </c>
      <c r="J7" s="10">
        <f t="shared" si="1"/>
        <v>3115863.58</v>
      </c>
      <c r="K7" s="10">
        <f t="shared" si="1"/>
        <v>3037332.53</v>
      </c>
      <c r="L7" s="10">
        <f t="shared" si="1"/>
        <v>3017782.1999999997</v>
      </c>
      <c r="M7" s="10">
        <f t="shared" si="1"/>
        <v>15969824.320000002</v>
      </c>
      <c r="N7" s="10">
        <f>SUM(B7:M7)</f>
        <v>46994508.650000006</v>
      </c>
    </row>
    <row r="8" spans="1:14" s="14" customFormat="1" ht="16.5" customHeight="1" x14ac:dyDescent="0.35">
      <c r="A8" s="12" t="s">
        <v>60</v>
      </c>
      <c r="B8" s="13">
        <f>'Quadrimestral Consolidado'!B8</f>
        <v>2136432.4900000002</v>
      </c>
      <c r="C8" s="13">
        <f>'Quadrimestral Consolidado'!C8</f>
        <v>2057265</v>
      </c>
      <c r="D8" s="13">
        <f>'Quadrimestral Consolidado'!D8</f>
        <v>2053065</v>
      </c>
      <c r="E8" s="13">
        <f>'Quadrimestral Consolidado'!E8</f>
        <v>2055390</v>
      </c>
      <c r="F8" s="13">
        <f>'Quadrimestral Consolidado'!F8</f>
        <v>2847935.42</v>
      </c>
      <c r="G8" s="13">
        <f>'Quadrimestral Consolidado'!G8</f>
        <v>2818893.0500000003</v>
      </c>
      <c r="H8" s="13">
        <f>'Quadrimestral Consolidado'!H8</f>
        <v>3066202.6</v>
      </c>
      <c r="I8" s="13">
        <f>'Quadrimestral Consolidado'!I8</f>
        <v>2798075.2</v>
      </c>
      <c r="J8" s="13">
        <f>'Quadrimestral Consolidado'!J8</f>
        <v>2849267.55</v>
      </c>
      <c r="K8" s="13">
        <f>'Quadrimestral Consolidado'!K8</f>
        <v>2795547.55</v>
      </c>
      <c r="L8" s="13">
        <f>'Quadrimestral Consolidado'!L8</f>
        <v>2796797.55</v>
      </c>
      <c r="M8" s="13">
        <f>'Quadrimestral Consolidado'!M8</f>
        <v>15727257.110000001</v>
      </c>
      <c r="N8" s="13">
        <f>SUM(B8:M8)</f>
        <v>44002128.520000003</v>
      </c>
    </row>
    <row r="9" spans="1:14" s="14" customFormat="1" ht="16.5" customHeight="1" x14ac:dyDescent="0.35">
      <c r="A9" s="12" t="s">
        <v>61</v>
      </c>
      <c r="B9" s="13">
        <f>'Quadrimestral Consolidado'!B9</f>
        <v>239241.77000000002</v>
      </c>
      <c r="C9" s="13">
        <f>'Quadrimestral Consolidado'!C9</f>
        <v>218594.95</v>
      </c>
      <c r="D9" s="13">
        <f>'Quadrimestral Consolidado'!D9</f>
        <v>248849.74</v>
      </c>
      <c r="E9" s="13">
        <f>'Quadrimestral Consolidado'!E9</f>
        <v>209405.56</v>
      </c>
      <c r="F9" s="13">
        <f>'Quadrimestral Consolidado'!F9</f>
        <v>271041.96000000002</v>
      </c>
      <c r="G9" s="13">
        <f>'Quadrimestral Consolidado'!G9</f>
        <v>268514.39</v>
      </c>
      <c r="H9" s="13">
        <f>'Quadrimestral Consolidado'!H9</f>
        <v>265289.58</v>
      </c>
      <c r="I9" s="13">
        <f>'Quadrimestral Consolidado'!I9</f>
        <v>299509.31</v>
      </c>
      <c r="J9" s="13">
        <f>'Quadrimestral Consolidado'!J9</f>
        <v>266596.03000000003</v>
      </c>
      <c r="K9" s="13">
        <f>'Quadrimestral Consolidado'!K9</f>
        <v>241784.98</v>
      </c>
      <c r="L9" s="13">
        <f>'Quadrimestral Consolidado'!L9</f>
        <v>220984.65</v>
      </c>
      <c r="M9" s="13">
        <f>'Quadrimestral Consolidado'!M9</f>
        <v>242567.21</v>
      </c>
      <c r="N9" s="13">
        <f>SUM(B9:M9)</f>
        <v>2992380.13</v>
      </c>
    </row>
    <row r="10" spans="1:14" s="14" customFormat="1" ht="16.5" customHeight="1" x14ac:dyDescent="0.35">
      <c r="A10" s="12" t="s">
        <v>62</v>
      </c>
      <c r="B10" s="13">
        <f>'Quadrimestral Consolidado'!B10</f>
        <v>0</v>
      </c>
      <c r="C10" s="13">
        <f>'Quadrimestral Consolidado'!C10</f>
        <v>0</v>
      </c>
      <c r="D10" s="13">
        <f>'Quadrimestral Consolidado'!D10</f>
        <v>0</v>
      </c>
      <c r="E10" s="13">
        <f>'Quadrimestral Consolidado'!E10</f>
        <v>0</v>
      </c>
      <c r="F10" s="13">
        <f>'Quadrimestral Consolidado'!F10</f>
        <v>0</v>
      </c>
      <c r="G10" s="13">
        <f>'Quadrimestral Consolidado'!G10</f>
        <v>0</v>
      </c>
      <c r="H10" s="13">
        <f>'Quadrimestral Consolidado'!H10</f>
        <v>0</v>
      </c>
      <c r="I10" s="13">
        <f>'Quadrimestral Consolidado'!I10</f>
        <v>0</v>
      </c>
      <c r="J10" s="13">
        <f>'Quadrimestral Consolidado'!J10</f>
        <v>0</v>
      </c>
      <c r="K10" s="13">
        <f>'Quadrimestral Consolidado'!K10</f>
        <v>0</v>
      </c>
      <c r="L10" s="13">
        <f>'Quadrimestral Consolidado'!L10</f>
        <v>0</v>
      </c>
      <c r="M10" s="13">
        <f>'Quadrimestral Consolidado'!M10</f>
        <v>0</v>
      </c>
      <c r="N10" s="13">
        <f>SUM(B10:M10)</f>
        <v>0</v>
      </c>
    </row>
    <row r="11" spans="1:14" s="14" customFormat="1" ht="16.5" customHeight="1" x14ac:dyDescent="0.35">
      <c r="A11" s="12" t="s">
        <v>63</v>
      </c>
      <c r="B11" s="13">
        <f>'Quadrimestral Consolidado'!B11</f>
        <v>0</v>
      </c>
      <c r="C11" s="13">
        <f>'Quadrimestral Consolidado'!C11</f>
        <v>0</v>
      </c>
      <c r="D11" s="13">
        <f>'Quadrimestral Consolidado'!D11</f>
        <v>0</v>
      </c>
      <c r="E11" s="13">
        <f>'Quadrimestral Consolidado'!E11</f>
        <v>0</v>
      </c>
      <c r="F11" s="13">
        <f>'Quadrimestral Consolidado'!F11</f>
        <v>0</v>
      </c>
      <c r="G11" s="13">
        <f>'Quadrimestral Consolidado'!G11</f>
        <v>0</v>
      </c>
      <c r="H11" s="13">
        <f>'Quadrimestral Consolidado'!H11</f>
        <v>0</v>
      </c>
      <c r="I11" s="13">
        <f>'Quadrimestral Consolidado'!I11</f>
        <v>0</v>
      </c>
      <c r="J11" s="13">
        <f>'Quadrimestral Consolidado'!J11</f>
        <v>0</v>
      </c>
      <c r="K11" s="13">
        <f>'Quadrimestral Consolidado'!K11</f>
        <v>0</v>
      </c>
      <c r="L11" s="13">
        <f>'Quadrimestral Consolidado'!L11</f>
        <v>0</v>
      </c>
      <c r="M11" s="13">
        <f>'Quadrimestral Consolidado'!M11</f>
        <v>0</v>
      </c>
      <c r="N11" s="13">
        <f>SUM(B11:M11)</f>
        <v>0</v>
      </c>
    </row>
    <row r="12" spans="1:14" ht="16.5" customHeight="1" x14ac:dyDescent="0.2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ht="16.5" customHeight="1" x14ac:dyDescent="0.3">
      <c r="A13" s="35" t="s">
        <v>54</v>
      </c>
      <c r="B13" s="8" t="s">
        <v>4</v>
      </c>
    </row>
    <row r="14" spans="1:14" s="11" customFormat="1" ht="16.5" customHeight="1" x14ac:dyDescent="0.35">
      <c r="A14" s="9" t="s">
        <v>55</v>
      </c>
      <c r="B14" s="19">
        <f t="shared" ref="B14:M14" si="2">SUM(B15:B44)</f>
        <v>7232742.2800000003</v>
      </c>
      <c r="C14" s="19">
        <f t="shared" si="2"/>
        <v>6082209.4399999995</v>
      </c>
      <c r="D14" s="19">
        <f t="shared" si="2"/>
        <v>3744441.85</v>
      </c>
      <c r="E14" s="19">
        <f t="shared" si="2"/>
        <v>2837383.1199999996</v>
      </c>
      <c r="F14" s="19">
        <f t="shared" si="2"/>
        <v>3047246.4</v>
      </c>
      <c r="G14" s="19">
        <f t="shared" si="2"/>
        <v>3535997.0999999992</v>
      </c>
      <c r="H14" s="19">
        <f t="shared" si="2"/>
        <v>3989820.0400000005</v>
      </c>
      <c r="I14" s="19">
        <f t="shared" si="2"/>
        <v>4109636.2300000004</v>
      </c>
      <c r="J14" s="19">
        <f t="shared" si="2"/>
        <v>4190435.709999999</v>
      </c>
      <c r="K14" s="19">
        <f t="shared" si="2"/>
        <v>4685024.1399999997</v>
      </c>
      <c r="L14" s="19">
        <f t="shared" si="2"/>
        <v>6859006.7200000016</v>
      </c>
      <c r="M14" s="19">
        <f t="shared" si="2"/>
        <v>7547234.9400000004</v>
      </c>
      <c r="N14" s="19">
        <f t="shared" ref="N14:N33" si="3">SUM(B14:M14)</f>
        <v>57861177.969999991</v>
      </c>
    </row>
    <row r="15" spans="1:14" s="14" customFormat="1" ht="16.5" customHeight="1" x14ac:dyDescent="0.35">
      <c r="A15" s="15" t="s">
        <v>12</v>
      </c>
      <c r="B15" s="13">
        <f>'Quadrimestral Consolidado'!B15</f>
        <v>6130801.1900000004</v>
      </c>
      <c r="C15" s="13">
        <f>'Quadrimestral Consolidado'!C15</f>
        <v>4718153.84</v>
      </c>
      <c r="D15" s="13">
        <f>'Quadrimestral Consolidado'!D15</f>
        <v>3185514.91</v>
      </c>
      <c r="E15" s="13">
        <f>'Quadrimestral Consolidado'!E15</f>
        <v>2040327.64</v>
      </c>
      <c r="F15" s="13">
        <f>'Quadrimestral Consolidado'!F15</f>
        <v>2106102.46</v>
      </c>
      <c r="G15" s="13">
        <f>'Quadrimestral Consolidado'!G15</f>
        <v>2078760</v>
      </c>
      <c r="H15" s="13">
        <f>'Quadrimestral Consolidado'!H15</f>
        <v>2215295.0499999998</v>
      </c>
      <c r="I15" s="13">
        <f>'Quadrimestral Consolidado'!I15</f>
        <v>2084113.64</v>
      </c>
      <c r="J15" s="13">
        <f>'Quadrimestral Consolidado'!J15</f>
        <v>2468135.85</v>
      </c>
      <c r="K15" s="13">
        <f>'Quadrimestral Consolidado'!K15</f>
        <v>2566084.09</v>
      </c>
      <c r="L15" s="13">
        <f>'Quadrimestral Consolidado'!L15</f>
        <v>4035814.81</v>
      </c>
      <c r="M15" s="13">
        <f>'Quadrimestral Consolidado'!M15</f>
        <v>4520522.24</v>
      </c>
      <c r="N15" s="13">
        <f t="shared" si="3"/>
        <v>38149625.720000006</v>
      </c>
    </row>
    <row r="16" spans="1:14" s="14" customFormat="1" ht="16.5" customHeight="1" x14ac:dyDescent="0.35">
      <c r="A16" s="12" t="s">
        <v>13</v>
      </c>
      <c r="B16" s="13">
        <f>'Quadrimestral Consolidado'!B16</f>
        <v>560621.56000000006</v>
      </c>
      <c r="C16" s="13">
        <f>'Quadrimestral Consolidado'!C16</f>
        <v>104492.23</v>
      </c>
      <c r="D16" s="13">
        <f>'Quadrimestral Consolidado'!D16</f>
        <v>234897.10000000003</v>
      </c>
      <c r="E16" s="13">
        <f>'Quadrimestral Consolidado'!E16</f>
        <v>294942.93</v>
      </c>
      <c r="F16" s="13">
        <f>'Quadrimestral Consolidado'!F16</f>
        <v>314368.65000000002</v>
      </c>
      <c r="G16" s="13">
        <f>'Quadrimestral Consolidado'!G16</f>
        <v>754736.48</v>
      </c>
      <c r="H16" s="13">
        <f>'Quadrimestral Consolidado'!H16</f>
        <v>732582.9</v>
      </c>
      <c r="I16" s="13">
        <f>'Quadrimestral Consolidado'!I16</f>
        <v>817419.13</v>
      </c>
      <c r="J16" s="13">
        <f>'Quadrimestral Consolidado'!J16</f>
        <v>766561.28000000003</v>
      </c>
      <c r="K16" s="13">
        <f>'Quadrimestral Consolidado'!K16</f>
        <v>1099190.31</v>
      </c>
      <c r="L16" s="13">
        <f>'Quadrimestral Consolidado'!L16</f>
        <v>1960505.22</v>
      </c>
      <c r="M16" s="13">
        <f>'Quadrimestral Consolidado'!M16</f>
        <v>2075674.31</v>
      </c>
      <c r="N16" s="13">
        <f t="shared" si="3"/>
        <v>9715992.0999999996</v>
      </c>
    </row>
    <row r="17" spans="1:14" s="14" customFormat="1" ht="16.5" customHeight="1" x14ac:dyDescent="0.35">
      <c r="A17" s="12" t="s">
        <v>14</v>
      </c>
      <c r="B17" s="13">
        <f>'Quadrimestral Consolidado'!B17</f>
        <v>968.79</v>
      </c>
      <c r="C17" s="13">
        <f>'Quadrimestral Consolidado'!C17</f>
        <v>6393.32</v>
      </c>
      <c r="D17" s="13">
        <f>'Quadrimestral Consolidado'!D17</f>
        <v>13696.76</v>
      </c>
      <c r="E17" s="13">
        <f>'Quadrimestral Consolidado'!E17</f>
        <v>18990.53</v>
      </c>
      <c r="F17" s="13">
        <f>'Quadrimestral Consolidado'!F17</f>
        <v>20387.52</v>
      </c>
      <c r="G17" s="13">
        <f>'Quadrimestral Consolidado'!G17</f>
        <v>76522.25</v>
      </c>
      <c r="H17" s="13">
        <f>'Quadrimestral Consolidado'!H17</f>
        <v>153369.60999999999</v>
      </c>
      <c r="I17" s="13">
        <f>'Quadrimestral Consolidado'!I17</f>
        <v>177828.56</v>
      </c>
      <c r="J17" s="13">
        <f>'Quadrimestral Consolidado'!J17</f>
        <v>167803.69</v>
      </c>
      <c r="K17" s="13">
        <f>'Quadrimestral Consolidado'!K17</f>
        <v>55523.92</v>
      </c>
      <c r="L17" s="13">
        <f>'Quadrimestral Consolidado'!L17</f>
        <v>73656.77</v>
      </c>
      <c r="M17" s="13">
        <f>'Quadrimestral Consolidado'!M17</f>
        <v>116466.03</v>
      </c>
      <c r="N17" s="13">
        <f t="shared" si="3"/>
        <v>881607.75000000012</v>
      </c>
    </row>
    <row r="18" spans="1:14" s="14" customFormat="1" ht="16.5" customHeight="1" x14ac:dyDescent="0.35">
      <c r="A18" s="15" t="s">
        <v>15</v>
      </c>
      <c r="B18" s="13">
        <f>'Quadrimestral Consolidado'!B18</f>
        <v>794.27</v>
      </c>
      <c r="C18" s="13">
        <f>'Quadrimestral Consolidado'!C18</f>
        <v>11058.67</v>
      </c>
      <c r="D18" s="13">
        <f>'Quadrimestral Consolidado'!D18</f>
        <v>6702.23</v>
      </c>
      <c r="E18" s="13">
        <f>'Quadrimestral Consolidado'!E18</f>
        <v>13761.32</v>
      </c>
      <c r="F18" s="13">
        <f>'Quadrimestral Consolidado'!F18</f>
        <v>150</v>
      </c>
      <c r="G18" s="13">
        <f>'Quadrimestral Consolidado'!G18</f>
        <v>0</v>
      </c>
      <c r="H18" s="13">
        <f>'Quadrimestral Consolidado'!H18</f>
        <v>0</v>
      </c>
      <c r="I18" s="13">
        <f>'Quadrimestral Consolidado'!I18</f>
        <v>0</v>
      </c>
      <c r="J18" s="13">
        <f>'Quadrimestral Consolidado'!J18</f>
        <v>0</v>
      </c>
      <c r="K18" s="13">
        <f>'Quadrimestral Consolidado'!K18</f>
        <v>0</v>
      </c>
      <c r="L18" s="13">
        <f>'Quadrimestral Consolidado'!L18</f>
        <v>0</v>
      </c>
      <c r="M18" s="13">
        <f>'Quadrimestral Consolidado'!M18</f>
        <v>0</v>
      </c>
      <c r="N18" s="13">
        <f t="shared" si="3"/>
        <v>32466.489999999998</v>
      </c>
    </row>
    <row r="19" spans="1:14" s="14" customFormat="1" ht="16.5" customHeight="1" x14ac:dyDescent="0.35">
      <c r="A19" s="15" t="s">
        <v>16</v>
      </c>
      <c r="B19" s="13">
        <f>'Quadrimestral Consolidado'!B19</f>
        <v>158468.01</v>
      </c>
      <c r="C19" s="13">
        <f>'Quadrimestral Consolidado'!C19</f>
        <v>-31193.040000000001</v>
      </c>
      <c r="D19" s="13">
        <f>'Quadrimestral Consolidado'!D19</f>
        <v>5236.2400000000034</v>
      </c>
      <c r="E19" s="13">
        <f>'Quadrimestral Consolidado'!E19</f>
        <v>40247.850000000006</v>
      </c>
      <c r="F19" s="13">
        <f>'Quadrimestral Consolidado'!F19</f>
        <v>259869.86000000002</v>
      </c>
      <c r="G19" s="13">
        <f>'Quadrimestral Consolidado'!G19</f>
        <v>-140092.25</v>
      </c>
      <c r="H19" s="13">
        <f>'Quadrimestral Consolidado'!H19</f>
        <v>456616.99</v>
      </c>
      <c r="I19" s="13">
        <f>'Quadrimestral Consolidado'!I19</f>
        <v>306095.55000000005</v>
      </c>
      <c r="J19" s="13">
        <f>'Quadrimestral Consolidado'!J19</f>
        <v>-388897.76999999996</v>
      </c>
      <c r="K19" s="13">
        <f>'Quadrimestral Consolidado'!K19</f>
        <v>58759.489999999983</v>
      </c>
      <c r="L19" s="13">
        <f>'Quadrimestral Consolidado'!L19</f>
        <v>425320.02</v>
      </c>
      <c r="M19" s="13">
        <f>'Quadrimestral Consolidado'!M19</f>
        <v>36087.060000000012</v>
      </c>
      <c r="N19" s="13">
        <f t="shared" si="3"/>
        <v>1186518.01</v>
      </c>
    </row>
    <row r="20" spans="1:14" s="14" customFormat="1" ht="16.5" customHeight="1" x14ac:dyDescent="0.35">
      <c r="A20" s="12" t="s">
        <v>17</v>
      </c>
      <c r="B20" s="13">
        <f>'Quadrimestral Consolidado'!B20</f>
        <v>5399.4</v>
      </c>
      <c r="C20" s="13">
        <f>'Quadrimestral Consolidado'!C20</f>
        <v>3209.09</v>
      </c>
      <c r="D20" s="13">
        <f>'Quadrimestral Consolidado'!D20</f>
        <v>3835</v>
      </c>
      <c r="E20" s="13">
        <f>'Quadrimestral Consolidado'!E20</f>
        <v>6014.14</v>
      </c>
      <c r="F20" s="13">
        <f>'Quadrimestral Consolidado'!F20</f>
        <v>8133.19</v>
      </c>
      <c r="G20" s="13">
        <f>'Quadrimestral Consolidado'!G20</f>
        <v>10886.51</v>
      </c>
      <c r="H20" s="13">
        <f>'Quadrimestral Consolidado'!H20</f>
        <v>8969.74</v>
      </c>
      <c r="I20" s="13">
        <f>'Quadrimestral Consolidado'!I20</f>
        <v>6568.37</v>
      </c>
      <c r="J20" s="13">
        <f>'Quadrimestral Consolidado'!J20</f>
        <v>8483.5</v>
      </c>
      <c r="K20" s="13">
        <f>'Quadrimestral Consolidado'!K20</f>
        <v>9046.42</v>
      </c>
      <c r="L20" s="13">
        <f>'Quadrimestral Consolidado'!L20</f>
        <v>13093.07</v>
      </c>
      <c r="M20" s="13">
        <f>'Quadrimestral Consolidado'!M20</f>
        <v>10112.85</v>
      </c>
      <c r="N20" s="13">
        <f t="shared" si="3"/>
        <v>93751.28</v>
      </c>
    </row>
    <row r="21" spans="1:14" s="14" customFormat="1" ht="16.5" customHeight="1" x14ac:dyDescent="0.35">
      <c r="A21" s="15" t="s">
        <v>18</v>
      </c>
      <c r="B21" s="13">
        <f>'Quadrimestral Consolidado'!B21</f>
        <v>32087.42</v>
      </c>
      <c r="C21" s="13">
        <f>'Quadrimestral Consolidado'!C21</f>
        <v>29712.39</v>
      </c>
      <c r="D21" s="13">
        <f>'Quadrimestral Consolidado'!D21</f>
        <v>27328.19</v>
      </c>
      <c r="E21" s="13">
        <f>'Quadrimestral Consolidado'!E21</f>
        <v>22872.43</v>
      </c>
      <c r="F21" s="13">
        <f>'Quadrimestral Consolidado'!F21</f>
        <v>32948.519999999997</v>
      </c>
      <c r="G21" s="13">
        <f>'Quadrimestral Consolidado'!G21</f>
        <v>32349.360000000001</v>
      </c>
      <c r="H21" s="13">
        <f>'Quadrimestral Consolidado'!H21</f>
        <v>27084.86</v>
      </c>
      <c r="I21" s="13">
        <f>'Quadrimestral Consolidado'!I21</f>
        <v>26456.52</v>
      </c>
      <c r="J21" s="13">
        <f>'Quadrimestral Consolidado'!J21</f>
        <v>23033.73</v>
      </c>
      <c r="K21" s="13">
        <f>'Quadrimestral Consolidado'!K21</f>
        <v>24329.25</v>
      </c>
      <c r="L21" s="13">
        <f>'Quadrimestral Consolidado'!L21</f>
        <v>32012.06</v>
      </c>
      <c r="M21" s="13">
        <f>'Quadrimestral Consolidado'!M21</f>
        <v>41034.6</v>
      </c>
      <c r="N21" s="13">
        <f t="shared" si="3"/>
        <v>351249.32999999996</v>
      </c>
    </row>
    <row r="22" spans="1:14" s="14" customFormat="1" ht="16.5" customHeight="1" x14ac:dyDescent="0.35">
      <c r="A22" s="12" t="s">
        <v>19</v>
      </c>
      <c r="B22" s="13">
        <f>'Quadrimestral Consolidado'!B22</f>
        <v>37821.910000000003</v>
      </c>
      <c r="C22" s="13">
        <f>'Quadrimestral Consolidado'!C22</f>
        <v>18184.18</v>
      </c>
      <c r="D22" s="13">
        <f>'Quadrimestral Consolidado'!D22</f>
        <v>39830.019999999997</v>
      </c>
      <c r="E22" s="13">
        <f>'Quadrimestral Consolidado'!E22</f>
        <v>21655.01</v>
      </c>
      <c r="F22" s="13">
        <f>'Quadrimestral Consolidado'!F22</f>
        <v>14043.08</v>
      </c>
      <c r="G22" s="13">
        <f>'Quadrimestral Consolidado'!G22</f>
        <v>10968.09</v>
      </c>
      <c r="H22" s="13">
        <f>'Quadrimestral Consolidado'!H22</f>
        <v>16340.09</v>
      </c>
      <c r="I22" s="13">
        <f>'Quadrimestral Consolidado'!I22</f>
        <v>21339.85</v>
      </c>
      <c r="J22" s="13">
        <f>'Quadrimestral Consolidado'!J22</f>
        <v>14225.9</v>
      </c>
      <c r="K22" s="13">
        <f>'Quadrimestral Consolidado'!K22</f>
        <v>13146.46</v>
      </c>
      <c r="L22" s="13">
        <f>'Quadrimestral Consolidado'!L22</f>
        <v>12728.62</v>
      </c>
      <c r="M22" s="13">
        <f>'Quadrimestral Consolidado'!M22</f>
        <v>14715.7</v>
      </c>
      <c r="N22" s="13">
        <f t="shared" si="3"/>
        <v>234998.90999999997</v>
      </c>
    </row>
    <row r="23" spans="1:14" s="14" customFormat="1" ht="16.5" customHeight="1" x14ac:dyDescent="0.35">
      <c r="A23" s="15" t="s">
        <v>20</v>
      </c>
      <c r="B23" s="13">
        <f>'Quadrimestral Consolidado'!B23</f>
        <v>0</v>
      </c>
      <c r="C23" s="13">
        <f>'Quadrimestral Consolidado'!C23</f>
        <v>0</v>
      </c>
      <c r="D23" s="13">
        <f>'Quadrimestral Consolidado'!D23</f>
        <v>0</v>
      </c>
      <c r="E23" s="13">
        <f>'Quadrimestral Consolidado'!E23</f>
        <v>0</v>
      </c>
      <c r="F23" s="13">
        <f>'Quadrimestral Consolidado'!F23</f>
        <v>0</v>
      </c>
      <c r="G23" s="13">
        <f>'Quadrimestral Consolidado'!G23</f>
        <v>0</v>
      </c>
      <c r="H23" s="13">
        <f>'Quadrimestral Consolidado'!H23</f>
        <v>0</v>
      </c>
      <c r="I23" s="13">
        <f>'Quadrimestral Consolidado'!I23</f>
        <v>0</v>
      </c>
      <c r="J23" s="13">
        <f>'Quadrimestral Consolidado'!J23</f>
        <v>0</v>
      </c>
      <c r="K23" s="13">
        <f>'Quadrimestral Consolidado'!K23</f>
        <v>0</v>
      </c>
      <c r="L23" s="13">
        <f>'Quadrimestral Consolidado'!L23</f>
        <v>0</v>
      </c>
      <c r="M23" s="13">
        <f>'Quadrimestral Consolidado'!M23</f>
        <v>0</v>
      </c>
      <c r="N23" s="13">
        <f t="shared" si="3"/>
        <v>0</v>
      </c>
    </row>
    <row r="24" spans="1:14" s="14" customFormat="1" ht="16.5" customHeight="1" x14ac:dyDescent="0.35">
      <c r="A24" s="15" t="s">
        <v>21</v>
      </c>
      <c r="B24" s="13">
        <f>'Quadrimestral Consolidado'!B24</f>
        <v>0</v>
      </c>
      <c r="C24" s="13">
        <f>'Quadrimestral Consolidado'!C24</f>
        <v>0</v>
      </c>
      <c r="D24" s="13">
        <f>'Quadrimestral Consolidado'!D24</f>
        <v>0</v>
      </c>
      <c r="E24" s="13">
        <f>'Quadrimestral Consolidado'!E24</f>
        <v>145300</v>
      </c>
      <c r="F24" s="13">
        <f>'Quadrimestral Consolidado'!F24</f>
        <v>164000</v>
      </c>
      <c r="G24" s="13">
        <f>'Quadrimestral Consolidado'!G24</f>
        <v>165444</v>
      </c>
      <c r="H24" s="13">
        <f>'Quadrimestral Consolidado'!H24</f>
        <v>163100</v>
      </c>
      <c r="I24" s="13">
        <f>'Quadrimestral Consolidado'!I24</f>
        <v>164800</v>
      </c>
      <c r="J24" s="13">
        <f>'Quadrimestral Consolidado'!J24</f>
        <v>200900</v>
      </c>
      <c r="K24" s="13">
        <f>'Quadrimestral Consolidado'!K24</f>
        <v>403996.6</v>
      </c>
      <c r="L24" s="13">
        <f>'Quadrimestral Consolidado'!L24</f>
        <v>217500</v>
      </c>
      <c r="M24" s="13">
        <f>'Quadrimestral Consolidado'!M24</f>
        <v>0</v>
      </c>
      <c r="N24" s="13">
        <f t="shared" si="3"/>
        <v>1625040.6</v>
      </c>
    </row>
    <row r="25" spans="1:14" s="14" customFormat="1" ht="16.5" customHeight="1" x14ac:dyDescent="0.35">
      <c r="A25" s="15" t="s">
        <v>22</v>
      </c>
      <c r="B25" s="13">
        <f>'Quadrimestral Consolidado'!B25</f>
        <v>0</v>
      </c>
      <c r="C25" s="13">
        <f>'Quadrimestral Consolidado'!C25</f>
        <v>0</v>
      </c>
      <c r="D25" s="13">
        <f>'Quadrimestral Consolidado'!D25</f>
        <v>0</v>
      </c>
      <c r="E25" s="13">
        <f>'Quadrimestral Consolidado'!E25</f>
        <v>0</v>
      </c>
      <c r="F25" s="13">
        <f>'Quadrimestral Consolidado'!F25</f>
        <v>300</v>
      </c>
      <c r="G25" s="13">
        <f>'Quadrimestral Consolidado'!G25</f>
        <v>150</v>
      </c>
      <c r="H25" s="13">
        <f>'Quadrimestral Consolidado'!H25</f>
        <v>300</v>
      </c>
      <c r="I25" s="13">
        <f>'Quadrimestral Consolidado'!I25</f>
        <v>450</v>
      </c>
      <c r="J25" s="13">
        <f>'Quadrimestral Consolidado'!J25</f>
        <v>0</v>
      </c>
      <c r="K25" s="13">
        <f>'Quadrimestral Consolidado'!K25</f>
        <v>300</v>
      </c>
      <c r="L25" s="13">
        <f>'Quadrimestral Consolidado'!L25</f>
        <v>0</v>
      </c>
      <c r="M25" s="13">
        <f>'Quadrimestral Consolidado'!M25</f>
        <v>236950</v>
      </c>
      <c r="N25" s="13">
        <f t="shared" si="3"/>
        <v>238450</v>
      </c>
    </row>
    <row r="26" spans="1:14" s="14" customFormat="1" ht="16.5" customHeight="1" x14ac:dyDescent="0.35">
      <c r="A26" s="15" t="s">
        <v>23</v>
      </c>
      <c r="B26" s="13">
        <f>'Quadrimestral Consolidado'!B26</f>
        <v>1994.76</v>
      </c>
      <c r="C26" s="13">
        <f>'Quadrimestral Consolidado'!C26</f>
        <v>66558.45</v>
      </c>
      <c r="D26" s="13">
        <f>'Quadrimestral Consolidado'!D26</f>
        <v>0</v>
      </c>
      <c r="E26" s="13">
        <f>'Quadrimestral Consolidado'!E26</f>
        <v>0</v>
      </c>
      <c r="F26" s="13">
        <f>'Quadrimestral Consolidado'!F26</f>
        <v>0</v>
      </c>
      <c r="G26" s="13">
        <f>'Quadrimestral Consolidado'!G26</f>
        <v>31140.74</v>
      </c>
      <c r="H26" s="13">
        <f>'Quadrimestral Consolidado'!H26</f>
        <v>10380.25</v>
      </c>
      <c r="I26" s="13">
        <f>'Quadrimestral Consolidado'!I26</f>
        <v>8368.56</v>
      </c>
      <c r="J26" s="13">
        <f>'Quadrimestral Consolidado'!J26</f>
        <v>2816.15</v>
      </c>
      <c r="K26" s="13">
        <f>'Quadrimestral Consolidado'!K26</f>
        <v>4048.27</v>
      </c>
      <c r="L26" s="13">
        <f>'Quadrimestral Consolidado'!L26</f>
        <v>3617.94</v>
      </c>
      <c r="M26" s="13">
        <f>'Quadrimestral Consolidado'!M26</f>
        <v>5221.43</v>
      </c>
      <c r="N26" s="13">
        <f t="shared" si="3"/>
        <v>134146.54999999999</v>
      </c>
    </row>
    <row r="27" spans="1:14" s="14" customFormat="1" ht="16.5" customHeight="1" x14ac:dyDescent="0.35">
      <c r="A27" s="15" t="s">
        <v>24</v>
      </c>
      <c r="B27" s="13">
        <f>'Quadrimestral Consolidado'!B27</f>
        <v>4617.45</v>
      </c>
      <c r="C27" s="13">
        <f>'Quadrimestral Consolidado'!C27</f>
        <v>2783.14</v>
      </c>
      <c r="D27" s="13">
        <f>'Quadrimestral Consolidado'!D27</f>
        <v>4881.03</v>
      </c>
      <c r="E27" s="13">
        <f>'Quadrimestral Consolidado'!E27</f>
        <v>88.07</v>
      </c>
      <c r="F27" s="13">
        <f>'Quadrimestral Consolidado'!F27</f>
        <v>1307.08</v>
      </c>
      <c r="G27" s="13">
        <f>'Quadrimestral Consolidado'!G27</f>
        <v>998.57</v>
      </c>
      <c r="H27" s="13">
        <f>'Quadrimestral Consolidado'!H27</f>
        <v>1000</v>
      </c>
      <c r="I27" s="13">
        <f>'Quadrimestral Consolidado'!I27</f>
        <v>1901.41</v>
      </c>
      <c r="J27" s="13">
        <f>'Quadrimestral Consolidado'!J27</f>
        <v>1162.55</v>
      </c>
      <c r="K27" s="13">
        <f>'Quadrimestral Consolidado'!K27</f>
        <v>1130.03</v>
      </c>
      <c r="L27" s="13">
        <f>'Quadrimestral Consolidado'!L27</f>
        <v>972.23</v>
      </c>
      <c r="M27" s="13">
        <f>'Quadrimestral Consolidado'!M27</f>
        <v>1000</v>
      </c>
      <c r="N27" s="13">
        <f t="shared" si="3"/>
        <v>21841.559999999998</v>
      </c>
    </row>
    <row r="28" spans="1:14" s="14" customFormat="1" ht="16.5" customHeight="1" x14ac:dyDescent="0.35">
      <c r="A28" s="12" t="s">
        <v>25</v>
      </c>
      <c r="B28" s="13">
        <f>'Quadrimestral Consolidado'!B28</f>
        <v>251.77</v>
      </c>
      <c r="C28" s="13">
        <f>'Quadrimestral Consolidado'!C28</f>
        <v>366266.34</v>
      </c>
      <c r="D28" s="13">
        <f>'Quadrimestral Consolidado'!D28</f>
        <v>264.18</v>
      </c>
      <c r="E28" s="13">
        <f>'Quadrimestral Consolidado'!E28</f>
        <v>31250.21</v>
      </c>
      <c r="F28" s="13">
        <f>'Quadrimestral Consolidado'!F28</f>
        <v>47480.19</v>
      </c>
      <c r="G28" s="13">
        <f>'Quadrimestral Consolidado'!G28</f>
        <v>190539.12</v>
      </c>
      <c r="H28" s="13">
        <f>'Quadrimestral Consolidado'!H28</f>
        <v>2764.18</v>
      </c>
      <c r="I28" s="13">
        <f>'Quadrimestral Consolidado'!I28</f>
        <v>67618.94</v>
      </c>
      <c r="J28" s="13">
        <f>'Quadrimestral Consolidado'!J28</f>
        <v>17135.79</v>
      </c>
      <c r="K28" s="13">
        <f>'Quadrimestral Consolidado'!K28</f>
        <v>49829.03</v>
      </c>
      <c r="L28" s="13">
        <f>'Quadrimestral Consolidado'!L28</f>
        <v>-23606.16</v>
      </c>
      <c r="M28" s="13">
        <f>'Quadrimestral Consolidado'!M28</f>
        <v>280.94</v>
      </c>
      <c r="N28" s="13">
        <f t="shared" si="3"/>
        <v>750074.53000000014</v>
      </c>
    </row>
    <row r="29" spans="1:14" s="14" customFormat="1" ht="16.5" customHeight="1" x14ac:dyDescent="0.35">
      <c r="A29" s="15" t="s">
        <v>26</v>
      </c>
      <c r="B29" s="13">
        <f>'Quadrimestral Consolidado'!B29</f>
        <v>75867.25</v>
      </c>
      <c r="C29" s="13">
        <f>'Quadrimestral Consolidado'!C29</f>
        <v>45406.16</v>
      </c>
      <c r="D29" s="13">
        <f>'Quadrimestral Consolidado'!D29</f>
        <v>102695.14</v>
      </c>
      <c r="E29" s="13">
        <f>'Quadrimestral Consolidado'!E29</f>
        <v>21257.08</v>
      </c>
      <c r="F29" s="13">
        <f>'Quadrimestral Consolidado'!F29</f>
        <v>60929.54</v>
      </c>
      <c r="G29" s="13">
        <f>'Quadrimestral Consolidado'!G29</f>
        <v>91194.59</v>
      </c>
      <c r="H29" s="13">
        <f>'Quadrimestral Consolidado'!H29</f>
        <v>134028.41</v>
      </c>
      <c r="I29" s="13">
        <f>'Quadrimestral Consolidado'!I29</f>
        <v>88259.08</v>
      </c>
      <c r="J29" s="13">
        <f>'Quadrimestral Consolidado'!J29</f>
        <v>63869.88</v>
      </c>
      <c r="K29" s="13">
        <f>'Quadrimestral Consolidado'!K29</f>
        <v>132251.46000000002</v>
      </c>
      <c r="L29" s="13">
        <f>'Quadrimestral Consolidado'!L29</f>
        <v>70681.5</v>
      </c>
      <c r="M29" s="13">
        <f>'Quadrimestral Consolidado'!M29</f>
        <v>107359.07</v>
      </c>
      <c r="N29" s="13">
        <f t="shared" si="3"/>
        <v>993799.16000000015</v>
      </c>
    </row>
    <row r="30" spans="1:14" s="14" customFormat="1" ht="16.5" customHeight="1" x14ac:dyDescent="0.35">
      <c r="A30" s="15" t="s">
        <v>27</v>
      </c>
      <c r="B30" s="13">
        <f>'Quadrimestral Consolidado'!B30</f>
        <v>30756.61</v>
      </c>
      <c r="C30" s="13">
        <f>'Quadrimestral Consolidado'!C30</f>
        <v>104081.11</v>
      </c>
      <c r="D30" s="13">
        <f>'Quadrimestral Consolidado'!D30</f>
        <v>0</v>
      </c>
      <c r="E30" s="13">
        <f>'Quadrimestral Consolidado'!E30</f>
        <v>14555.09</v>
      </c>
      <c r="F30" s="13">
        <f>'Quadrimestral Consolidado'!F30</f>
        <v>15261.69</v>
      </c>
      <c r="G30" s="13">
        <f>'Quadrimestral Consolidado'!G30</f>
        <v>16128.54</v>
      </c>
      <c r="H30" s="13">
        <f>'Quadrimestral Consolidado'!H30</f>
        <v>25589.86</v>
      </c>
      <c r="I30" s="13">
        <f>'Quadrimestral Consolidado'!I30</f>
        <v>97086.13</v>
      </c>
      <c r="J30" s="13">
        <f>'Quadrimestral Consolidado'!J30</f>
        <v>-30107.08</v>
      </c>
      <c r="K30" s="13">
        <f>'Quadrimestral Consolidado'!K30</f>
        <v>29227.48</v>
      </c>
      <c r="L30" s="13">
        <f>'Quadrimestral Consolidado'!L30</f>
        <v>25479.279999999999</v>
      </c>
      <c r="M30" s="13">
        <f>'Quadrimestral Consolidado'!M30</f>
        <v>41300.04</v>
      </c>
      <c r="N30" s="13">
        <f t="shared" si="3"/>
        <v>369358.74999999994</v>
      </c>
    </row>
    <row r="31" spans="1:14" s="14" customFormat="1" ht="16.5" customHeight="1" x14ac:dyDescent="0.35">
      <c r="A31" s="15" t="s">
        <v>28</v>
      </c>
      <c r="B31" s="13">
        <f>'Quadrimestral Consolidado'!B31</f>
        <v>3991.69</v>
      </c>
      <c r="C31" s="13">
        <f>'Quadrimestral Consolidado'!C31</f>
        <v>1692.8</v>
      </c>
      <c r="D31" s="13">
        <f>'Quadrimestral Consolidado'!D31</f>
        <v>2448.0300000000002</v>
      </c>
      <c r="E31" s="13">
        <f>'Quadrimestral Consolidado'!E31</f>
        <v>1710.43</v>
      </c>
      <c r="F31" s="13">
        <f>'Quadrimestral Consolidado'!F31</f>
        <v>1964.62</v>
      </c>
      <c r="G31" s="13">
        <f>'Quadrimestral Consolidado'!G31</f>
        <v>1243.8</v>
      </c>
      <c r="H31" s="13">
        <f>'Quadrimestral Consolidado'!H31</f>
        <v>2686.24</v>
      </c>
      <c r="I31" s="13">
        <f>'Quadrimestral Consolidado'!I31</f>
        <v>1538.49</v>
      </c>
      <c r="J31" s="13">
        <f>'Quadrimestral Consolidado'!J31</f>
        <v>1531.6</v>
      </c>
      <c r="K31" s="13">
        <f>'Quadrimestral Consolidado'!K31</f>
        <v>2111.13</v>
      </c>
      <c r="L31" s="13">
        <f>'Quadrimestral Consolidado'!L31</f>
        <v>1819.07</v>
      </c>
      <c r="M31" s="13">
        <f>'Quadrimestral Consolidado'!M31</f>
        <v>3196.16</v>
      </c>
      <c r="N31" s="13">
        <f t="shared" si="3"/>
        <v>25934.059999999998</v>
      </c>
    </row>
    <row r="32" spans="1:14" s="14" customFormat="1" ht="16.5" customHeight="1" x14ac:dyDescent="0.35">
      <c r="A32" s="12" t="s">
        <v>29</v>
      </c>
      <c r="B32" s="13">
        <f>'Quadrimestral Consolidado'!B32</f>
        <v>0</v>
      </c>
      <c r="C32" s="13">
        <f>'Quadrimestral Consolidado'!C32</f>
        <v>0</v>
      </c>
      <c r="D32" s="13">
        <f>'Quadrimestral Consolidado'!D32</f>
        <v>0</v>
      </c>
      <c r="E32" s="13">
        <f>'Quadrimestral Consolidado'!E32</f>
        <v>0</v>
      </c>
      <c r="F32" s="13">
        <f>'Quadrimestral Consolidado'!F32</f>
        <v>0</v>
      </c>
      <c r="G32" s="13">
        <f>'Quadrimestral Consolidado'!G32</f>
        <v>0</v>
      </c>
      <c r="H32" s="13">
        <f>'Quadrimestral Consolidado'!H32</f>
        <v>39054.74</v>
      </c>
      <c r="I32" s="13">
        <f>'Quadrimestral Consolidado'!I32</f>
        <v>0</v>
      </c>
      <c r="J32" s="13">
        <f>'Quadrimestral Consolidado'!J32</f>
        <v>0</v>
      </c>
      <c r="K32" s="13">
        <f>'Quadrimestral Consolidado'!K32</f>
        <v>0</v>
      </c>
      <c r="L32" s="13">
        <f>'Quadrimestral Consolidado'!L32</f>
        <v>0</v>
      </c>
      <c r="M32" s="13">
        <f>'Quadrimestral Consolidado'!M32</f>
        <v>0</v>
      </c>
      <c r="N32" s="13">
        <f t="shared" si="3"/>
        <v>39054.74</v>
      </c>
    </row>
    <row r="33" spans="1:14" s="14" customFormat="1" ht="16.5" customHeight="1" x14ac:dyDescent="0.35">
      <c r="A33" s="12" t="s">
        <v>30</v>
      </c>
      <c r="B33" s="13">
        <f>'Quadrimestral Consolidado'!B33</f>
        <v>136924.20000000001</v>
      </c>
      <c r="C33" s="13">
        <f>'Quadrimestral Consolidado'!C33</f>
        <v>510814.16</v>
      </c>
      <c r="D33" s="13">
        <f>'Quadrimestral Consolidado'!D33</f>
        <v>31823.08</v>
      </c>
      <c r="E33" s="13">
        <f>'Quadrimestral Consolidado'!E33</f>
        <v>135357.99</v>
      </c>
      <c r="F33" s="13">
        <f>'Quadrimestral Consolidado'!F33</f>
        <v>0</v>
      </c>
      <c r="G33" s="13">
        <f>'Quadrimestral Consolidado'!G33</f>
        <v>0</v>
      </c>
      <c r="H33" s="13">
        <f>'Quadrimestral Consolidado'!H33</f>
        <v>0</v>
      </c>
      <c r="I33" s="13">
        <f>'Quadrimestral Consolidado'!I33</f>
        <v>0</v>
      </c>
      <c r="J33" s="13">
        <f>'Quadrimestral Consolidado'!J33</f>
        <v>0</v>
      </c>
      <c r="K33" s="13">
        <f>'Quadrimestral Consolidado'!K33</f>
        <v>50000</v>
      </c>
      <c r="L33" s="13">
        <f>'Quadrimestral Consolidado'!L33</f>
        <v>0</v>
      </c>
      <c r="M33" s="13">
        <f>'Quadrimestral Consolidado'!M33</f>
        <v>122384.46</v>
      </c>
      <c r="N33" s="13">
        <f t="shared" si="3"/>
        <v>987303.8899999999</v>
      </c>
    </row>
    <row r="34" spans="1:14" s="11" customFormat="1" ht="16.5" customHeight="1" x14ac:dyDescent="0.35">
      <c r="A34" s="36" t="s">
        <v>56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1:14" s="14" customFormat="1" ht="16.5" customHeight="1" x14ac:dyDescent="0.35">
      <c r="A35" s="15" t="s">
        <v>33</v>
      </c>
      <c r="B35" s="13">
        <f>'Quadrimestral Consolidado'!B37</f>
        <v>0</v>
      </c>
      <c r="C35" s="13">
        <f>'Quadrimestral Consolidado'!C37</f>
        <v>7750</v>
      </c>
      <c r="D35" s="13">
        <f>'Quadrimestral Consolidado'!D37</f>
        <v>19884.5</v>
      </c>
      <c r="E35" s="13">
        <f>'Quadrimestral Consolidado'!E37</f>
        <v>0</v>
      </c>
      <c r="F35" s="13">
        <f>'Quadrimestral Consolidado'!F37</f>
        <v>0</v>
      </c>
      <c r="G35" s="13">
        <f>'Quadrimestral Consolidado'!G37</f>
        <v>2586</v>
      </c>
      <c r="H35" s="13">
        <f>'Quadrimestral Consolidado'!H37</f>
        <v>0</v>
      </c>
      <c r="I35" s="13">
        <f>'Quadrimestral Consolidado'!I37</f>
        <v>0</v>
      </c>
      <c r="J35" s="13">
        <f>'Quadrimestral Consolidado'!J37</f>
        <v>27628.32</v>
      </c>
      <c r="K35" s="13">
        <f>'Quadrimestral Consolidado'!K37</f>
        <v>14860</v>
      </c>
      <c r="L35" s="13">
        <f>'Quadrimestral Consolidado'!L37</f>
        <v>0</v>
      </c>
      <c r="M35" s="13">
        <f>'Quadrimestral Consolidado'!M37</f>
        <v>17372</v>
      </c>
      <c r="N35" s="13">
        <f t="shared" ref="N35:N43" si="4">SUM(B35:M35)</f>
        <v>90080.82</v>
      </c>
    </row>
    <row r="36" spans="1:14" s="14" customFormat="1" ht="16.5" customHeight="1" x14ac:dyDescent="0.35">
      <c r="A36" s="15" t="s">
        <v>34</v>
      </c>
      <c r="B36" s="13">
        <f>'Quadrimestral Consolidado'!B38</f>
        <v>0</v>
      </c>
      <c r="C36" s="13">
        <f>'Quadrimestral Consolidado'!C38</f>
        <v>0</v>
      </c>
      <c r="D36" s="13">
        <f>'Quadrimestral Consolidado'!D38</f>
        <v>0</v>
      </c>
      <c r="E36" s="13">
        <f>'Quadrimestral Consolidado'!E38</f>
        <v>0</v>
      </c>
      <c r="F36" s="13">
        <f>'Quadrimestral Consolidado'!F38</f>
        <v>0</v>
      </c>
      <c r="G36" s="13">
        <f>'Quadrimestral Consolidado'!G38</f>
        <v>0</v>
      </c>
      <c r="H36" s="13">
        <f>'Quadrimestral Consolidado'!H38</f>
        <v>0</v>
      </c>
      <c r="I36" s="13">
        <f>'Quadrimestral Consolidado'!I38</f>
        <v>3749</v>
      </c>
      <c r="J36" s="13">
        <f>'Quadrimestral Consolidado'!J38</f>
        <v>3916</v>
      </c>
      <c r="K36" s="13">
        <f>'Quadrimestral Consolidado'!K38</f>
        <v>0</v>
      </c>
      <c r="L36" s="13">
        <f>'Quadrimestral Consolidado'!L38</f>
        <v>0</v>
      </c>
      <c r="M36" s="13">
        <f>'Quadrimestral Consolidado'!M38</f>
        <v>0</v>
      </c>
      <c r="N36" s="13">
        <f t="shared" si="4"/>
        <v>7665</v>
      </c>
    </row>
    <row r="37" spans="1:14" s="14" customFormat="1" ht="16.5" customHeight="1" x14ac:dyDescent="0.35">
      <c r="A37" s="12" t="s">
        <v>57</v>
      </c>
      <c r="B37" s="13">
        <f>'Quadrimestral Consolidado'!B39</f>
        <v>0</v>
      </c>
      <c r="C37" s="13">
        <f>'Quadrimestral Consolidado'!C39</f>
        <v>6720</v>
      </c>
      <c r="D37" s="13">
        <f>'Quadrimestral Consolidado'!D39</f>
        <v>0</v>
      </c>
      <c r="E37" s="13">
        <f>'Quadrimestral Consolidado'!E39</f>
        <v>0</v>
      </c>
      <c r="F37" s="13">
        <f>'Quadrimestral Consolidado'!F39</f>
        <v>0</v>
      </c>
      <c r="G37" s="13">
        <f>'Quadrimestral Consolidado'!G39</f>
        <v>192278.9</v>
      </c>
      <c r="H37" s="13">
        <f>'Quadrimestral Consolidado'!H39</f>
        <v>657.12</v>
      </c>
      <c r="I37" s="13">
        <f>'Quadrimestral Consolidado'!I39</f>
        <v>1344</v>
      </c>
      <c r="J37" s="13">
        <f>'Quadrimestral Consolidado'!J39</f>
        <v>67534.8</v>
      </c>
      <c r="K37" s="13">
        <f>'Quadrimestral Consolidado'!K39</f>
        <v>16910.63</v>
      </c>
      <c r="L37" s="13">
        <f>'Quadrimestral Consolidado'!L39</f>
        <v>5374.48</v>
      </c>
      <c r="M37" s="13">
        <f>'Quadrimestral Consolidado'!M39</f>
        <v>41350</v>
      </c>
      <c r="N37" s="13">
        <f t="shared" si="4"/>
        <v>332169.93</v>
      </c>
    </row>
    <row r="38" spans="1:14" s="14" customFormat="1" ht="16.5" customHeight="1" x14ac:dyDescent="0.35">
      <c r="A38" s="15" t="s">
        <v>36</v>
      </c>
      <c r="B38" s="13">
        <f>'Quadrimestral Consolidado'!B40</f>
        <v>0</v>
      </c>
      <c r="C38" s="13">
        <f>'Quadrimestral Consolidado'!C40</f>
        <v>0</v>
      </c>
      <c r="D38" s="13">
        <f>'Quadrimestral Consolidado'!D40</f>
        <v>0</v>
      </c>
      <c r="E38" s="13">
        <f>'Quadrimestral Consolidado'!E40</f>
        <v>0</v>
      </c>
      <c r="F38" s="13">
        <f>'Quadrimestral Consolidado'!F40</f>
        <v>0</v>
      </c>
      <c r="G38" s="13">
        <f>'Quadrimestral Consolidado'!G40</f>
        <v>0</v>
      </c>
      <c r="H38" s="13">
        <f>'Quadrimestral Consolidado'!H40</f>
        <v>0</v>
      </c>
      <c r="I38" s="13">
        <f>'Quadrimestral Consolidado'!I40</f>
        <v>2700</v>
      </c>
      <c r="J38" s="13">
        <f>'Quadrimestral Consolidado'!J40</f>
        <v>0</v>
      </c>
      <c r="K38" s="13">
        <f>'Quadrimestral Consolidado'!K40</f>
        <v>0</v>
      </c>
      <c r="L38" s="13">
        <f>'Quadrimestral Consolidado'!L40</f>
        <v>0</v>
      </c>
      <c r="M38" s="13">
        <f>'Quadrimestral Consolidado'!M40</f>
        <v>1933.31</v>
      </c>
      <c r="N38" s="13">
        <f t="shared" si="4"/>
        <v>4633.3099999999995</v>
      </c>
    </row>
    <row r="39" spans="1:14" s="14" customFormat="1" ht="16.5" customHeight="1" x14ac:dyDescent="0.35">
      <c r="A39" s="15" t="s">
        <v>37</v>
      </c>
      <c r="B39" s="13">
        <f>'Quadrimestral Consolidado'!B41</f>
        <v>0</v>
      </c>
      <c r="C39" s="13">
        <f>'Quadrimestral Consolidado'!C41</f>
        <v>0</v>
      </c>
      <c r="D39" s="13">
        <f>'Quadrimestral Consolidado'!D41</f>
        <v>0</v>
      </c>
      <c r="E39" s="13">
        <f>'Quadrimestral Consolidado'!E41</f>
        <v>0</v>
      </c>
      <c r="F39" s="13">
        <f>'Quadrimestral Consolidado'!F41</f>
        <v>0</v>
      </c>
      <c r="G39" s="13">
        <f>'Quadrimestral Consolidado'!G41</f>
        <v>0</v>
      </c>
      <c r="H39" s="13">
        <f>'Quadrimestral Consolidado'!H41</f>
        <v>0</v>
      </c>
      <c r="I39" s="13">
        <f>'Quadrimestral Consolidado'!I41</f>
        <v>0</v>
      </c>
      <c r="J39" s="13">
        <f>'Quadrimestral Consolidado'!J41</f>
        <v>0</v>
      </c>
      <c r="K39" s="13">
        <f>'Quadrimestral Consolidado'!K41</f>
        <v>0</v>
      </c>
      <c r="L39" s="13">
        <f>'Quadrimestral Consolidado'!L41</f>
        <v>0</v>
      </c>
      <c r="M39" s="13">
        <f>'Quadrimestral Consolidado'!M41</f>
        <v>0</v>
      </c>
      <c r="N39" s="13">
        <f t="shared" si="4"/>
        <v>0</v>
      </c>
    </row>
    <row r="40" spans="1:14" s="14" customFormat="1" ht="16.5" customHeight="1" x14ac:dyDescent="0.35">
      <c r="A40" s="15" t="s">
        <v>38</v>
      </c>
      <c r="B40" s="13">
        <f>'Quadrimestral Consolidado'!B42</f>
        <v>51376</v>
      </c>
      <c r="C40" s="13">
        <f>'Quadrimestral Consolidado'!C42</f>
        <v>110126.6</v>
      </c>
      <c r="D40" s="13">
        <f>'Quadrimestral Consolidado'!D42</f>
        <v>51580.44</v>
      </c>
      <c r="E40" s="13">
        <f>'Quadrimestral Consolidado'!E42</f>
        <v>29052.400000000001</v>
      </c>
      <c r="F40" s="13">
        <f>'Quadrimestral Consolidado'!F42</f>
        <v>0</v>
      </c>
      <c r="G40" s="13">
        <f>'Quadrimestral Consolidado'!G42</f>
        <v>20162.400000000001</v>
      </c>
      <c r="H40" s="13">
        <f>'Quadrimestral Consolidado'!H42</f>
        <v>0</v>
      </c>
      <c r="I40" s="13">
        <f>'Quadrimestral Consolidado'!I42</f>
        <v>231640</v>
      </c>
      <c r="J40" s="13">
        <f>'Quadrimestral Consolidado'!J42</f>
        <v>546137.06000000006</v>
      </c>
      <c r="K40" s="13">
        <f>'Quadrimestral Consolidado'!K42</f>
        <v>136814.63</v>
      </c>
      <c r="L40" s="13">
        <f>'Quadrimestral Consolidado'!L42</f>
        <v>3900</v>
      </c>
      <c r="M40" s="13">
        <f>'Quadrimestral Consolidado'!M42</f>
        <v>154274.74</v>
      </c>
      <c r="N40" s="13">
        <f t="shared" si="4"/>
        <v>1335064.2700000003</v>
      </c>
    </row>
    <row r="41" spans="1:14" s="14" customFormat="1" ht="16.5" customHeight="1" x14ac:dyDescent="0.35">
      <c r="A41" s="15" t="s">
        <v>39</v>
      </c>
      <c r="B41" s="13">
        <f>'Quadrimestral Consolidado'!B43</f>
        <v>0</v>
      </c>
      <c r="C41" s="13">
        <f>'Quadrimestral Consolidado'!C43</f>
        <v>0</v>
      </c>
      <c r="D41" s="13">
        <f>'Quadrimestral Consolidado'!D43</f>
        <v>0</v>
      </c>
      <c r="E41" s="13">
        <f>'Quadrimestral Consolidado'!E43</f>
        <v>0</v>
      </c>
      <c r="F41" s="13">
        <f>'Quadrimestral Consolidado'!F43</f>
        <v>0</v>
      </c>
      <c r="G41" s="13">
        <f>'Quadrimestral Consolidado'!G43</f>
        <v>0</v>
      </c>
      <c r="H41" s="13">
        <f>'Quadrimestral Consolidado'!H43</f>
        <v>0</v>
      </c>
      <c r="I41" s="13">
        <f>'Quadrimestral Consolidado'!I43</f>
        <v>0</v>
      </c>
      <c r="J41" s="13">
        <f>'Quadrimestral Consolidado'!J43</f>
        <v>0</v>
      </c>
      <c r="K41" s="13">
        <f>'Quadrimestral Consolidado'!K43</f>
        <v>0</v>
      </c>
      <c r="L41" s="13">
        <f>'Quadrimestral Consolidado'!L43</f>
        <v>0</v>
      </c>
      <c r="M41" s="13">
        <f>'Quadrimestral Consolidado'!M43</f>
        <v>0</v>
      </c>
      <c r="N41" s="13">
        <f t="shared" si="4"/>
        <v>0</v>
      </c>
    </row>
    <row r="42" spans="1:14" s="14" customFormat="1" ht="16.5" customHeight="1" x14ac:dyDescent="0.35">
      <c r="A42" s="15" t="s">
        <v>40</v>
      </c>
      <c r="B42" s="13">
        <f>'Quadrimestral Consolidado'!B44</f>
        <v>0</v>
      </c>
      <c r="C42" s="13">
        <f>'Quadrimestral Consolidado'!C44</f>
        <v>0</v>
      </c>
      <c r="D42" s="13">
        <f>'Quadrimestral Consolidado'!D44</f>
        <v>13825</v>
      </c>
      <c r="E42" s="13">
        <f>'Quadrimestral Consolidado'!E44</f>
        <v>0</v>
      </c>
      <c r="F42" s="13">
        <f>'Quadrimestral Consolidado'!F44</f>
        <v>0</v>
      </c>
      <c r="G42" s="13">
        <f>'Quadrimestral Consolidado'!G44</f>
        <v>0</v>
      </c>
      <c r="H42" s="13">
        <f>'Quadrimestral Consolidado'!H44</f>
        <v>0</v>
      </c>
      <c r="I42" s="13">
        <f>'Quadrimestral Consolidado'!I44</f>
        <v>359</v>
      </c>
      <c r="J42" s="13">
        <f>'Quadrimestral Consolidado'!J44</f>
        <v>958</v>
      </c>
      <c r="K42" s="13">
        <f>'Quadrimestral Consolidado'!K44</f>
        <v>17464.939999999999</v>
      </c>
      <c r="L42" s="13">
        <f>'Quadrimestral Consolidado'!L44</f>
        <v>137.81</v>
      </c>
      <c r="M42" s="13">
        <f>'Quadrimestral Consolidado'!M44</f>
        <v>0</v>
      </c>
      <c r="N42" s="13">
        <f t="shared" si="4"/>
        <v>32744.75</v>
      </c>
    </row>
    <row r="43" spans="1:14" s="14" customFormat="1" ht="16.5" customHeight="1" x14ac:dyDescent="0.35">
      <c r="A43" s="15" t="s">
        <v>65</v>
      </c>
      <c r="B43" s="13">
        <f>'Quadrimestral Consolidado'!B45</f>
        <v>0</v>
      </c>
      <c r="C43" s="13">
        <f>'Quadrimestral Consolidado'!C45</f>
        <v>0</v>
      </c>
      <c r="D43" s="13">
        <f>'Quadrimestral Consolidado'!D45</f>
        <v>0</v>
      </c>
      <c r="E43" s="13">
        <f>'Quadrimestral Consolidado'!E45</f>
        <v>0</v>
      </c>
      <c r="F43" s="13">
        <f>'Quadrimestral Consolidado'!F45</f>
        <v>0</v>
      </c>
      <c r="G43" s="13">
        <f>'Quadrimestral Consolidado'!G45</f>
        <v>0</v>
      </c>
      <c r="H43" s="13">
        <f>'Quadrimestral Consolidado'!H45</f>
        <v>0</v>
      </c>
      <c r="I43" s="13">
        <f>'Quadrimestral Consolidado'!I45</f>
        <v>0</v>
      </c>
      <c r="J43" s="13">
        <f>'Quadrimestral Consolidado'!J45</f>
        <v>227606.46</v>
      </c>
      <c r="K43" s="13">
        <f>'Quadrimestral Consolidado'!K45</f>
        <v>0</v>
      </c>
      <c r="L43" s="13">
        <f>'Quadrimestral Consolidado'!L45</f>
        <v>0</v>
      </c>
      <c r="M43" s="13">
        <f>'Quadrimestral Consolidado'!M45</f>
        <v>0</v>
      </c>
      <c r="N43" s="13">
        <f t="shared" si="4"/>
        <v>227606.46</v>
      </c>
    </row>
    <row r="44" spans="1:14" s="14" customFormat="1" ht="16.5" customHeight="1" x14ac:dyDescent="0.35">
      <c r="A44" s="15" t="s">
        <v>66</v>
      </c>
      <c r="B44" s="13">
        <f>'Quadrimestral Consolidado'!B46</f>
        <v>0</v>
      </c>
      <c r="C44" s="13">
        <f>'Quadrimestral Consolidado'!C46</f>
        <v>0</v>
      </c>
      <c r="D44" s="13">
        <f>'Quadrimestral Consolidado'!D46</f>
        <v>0</v>
      </c>
      <c r="E44" s="13">
        <f>'Quadrimestral Consolidado'!E46</f>
        <v>0</v>
      </c>
      <c r="F44" s="13">
        <f>'Quadrimestral Consolidado'!F46</f>
        <v>0</v>
      </c>
      <c r="G44" s="13">
        <f>'Quadrimestral Consolidado'!G46</f>
        <v>0</v>
      </c>
      <c r="H44" s="13">
        <f>'Quadrimestral Consolidado'!H46</f>
        <v>0</v>
      </c>
      <c r="I44" s="13">
        <f>'Quadrimestral Consolidado'!I46</f>
        <v>0</v>
      </c>
      <c r="J44" s="13">
        <f>'Quadrimestral Consolidado'!J46</f>
        <v>0</v>
      </c>
      <c r="K44" s="13">
        <f>'Quadrimestral Consolidado'!K46</f>
        <v>0</v>
      </c>
      <c r="L44" s="13">
        <f>'Quadrimestral Consolidado'!L46</f>
        <v>0</v>
      </c>
      <c r="M44" s="13">
        <f>'Quadrimestral Consolidado'!M46</f>
        <v>0</v>
      </c>
      <c r="N44" s="13">
        <f>'Quadrimestral Consolidado'!N46</f>
        <v>0</v>
      </c>
    </row>
    <row r="45" spans="1:14" ht="16.5" customHeight="1" x14ac:dyDescent="0.3">
      <c r="B45" s="8" t="s">
        <v>4</v>
      </c>
    </row>
    <row r="46" spans="1:14" s="24" customFormat="1" ht="16.5" customHeight="1" x14ac:dyDescent="0.25">
      <c r="A46" s="22" t="s">
        <v>58</v>
      </c>
      <c r="B46" s="23">
        <f t="shared" ref="B46:N46" si="5">+B4+B7-B14</f>
        <v>36207094.899999999</v>
      </c>
      <c r="C46" s="23">
        <f t="shared" si="5"/>
        <v>32400745.410000004</v>
      </c>
      <c r="D46" s="23">
        <f t="shared" si="5"/>
        <v>30958218.300000004</v>
      </c>
      <c r="E46" s="23">
        <f t="shared" si="5"/>
        <v>30385630.740000002</v>
      </c>
      <c r="F46" s="23">
        <f t="shared" si="5"/>
        <v>30457361.720000003</v>
      </c>
      <c r="G46" s="23">
        <f t="shared" si="5"/>
        <v>30008772.060000006</v>
      </c>
      <c r="H46" s="23">
        <f t="shared" si="5"/>
        <v>29350444.200000007</v>
      </c>
      <c r="I46" s="23">
        <f t="shared" si="5"/>
        <v>28338392.480000008</v>
      </c>
      <c r="J46" s="23">
        <f t="shared" si="5"/>
        <v>27263820.350000009</v>
      </c>
      <c r="K46" s="23">
        <f t="shared" si="5"/>
        <v>25616128.74000001</v>
      </c>
      <c r="L46" s="23">
        <f t="shared" si="5"/>
        <v>21774904.220000006</v>
      </c>
      <c r="M46" s="23">
        <f t="shared" si="5"/>
        <v>30197493.600000005</v>
      </c>
      <c r="N46" s="23">
        <f t="shared" si="5"/>
        <v>30197493.600000016</v>
      </c>
    </row>
    <row r="47" spans="1:14" ht="16.5" customHeight="1" x14ac:dyDescent="0.25">
      <c r="B47" s="26">
        <f>'Quadrimestral Consolidado'!B49</f>
        <v>36207094.899999999</v>
      </c>
      <c r="C47" s="26">
        <f>'Quadrimestral Consolidado'!C49</f>
        <v>32400745.41</v>
      </c>
      <c r="D47" s="26">
        <f>'Quadrimestral Consolidado'!D49</f>
        <v>30958218.300000001</v>
      </c>
      <c r="E47" s="26">
        <f>'Quadrimestral Consolidado'!E49</f>
        <v>30385630.739999998</v>
      </c>
      <c r="F47" s="26">
        <f>'Quadrimestral Consolidado'!F49</f>
        <v>30457361.719999999</v>
      </c>
      <c r="G47" s="26">
        <f>'Quadrimestral Consolidado'!G49</f>
        <v>30008772.059999999</v>
      </c>
      <c r="H47" s="26">
        <f>'Quadrimestral Consolidado'!H49</f>
        <v>29350444.199999999</v>
      </c>
      <c r="I47" s="26">
        <f>'Quadrimestral Consolidado'!I49</f>
        <v>28338392.48</v>
      </c>
      <c r="J47" s="26">
        <f>'Quadrimestral Consolidado'!J49</f>
        <v>27263820.350000001</v>
      </c>
      <c r="K47" s="26">
        <f>'Quadrimestral Consolidado'!K49</f>
        <v>25616128.739999998</v>
      </c>
      <c r="L47" s="26">
        <f>'Quadrimestral Consolidado'!L49</f>
        <v>21774904.219999999</v>
      </c>
      <c r="M47" s="26">
        <f>'Quadrimestral Consolidado'!M49</f>
        <v>30197493.600000001</v>
      </c>
    </row>
    <row r="48" spans="1:14" ht="16.5" customHeight="1" x14ac:dyDescent="0.25">
      <c r="B48" s="31">
        <f t="shared" ref="B48:M48" si="6">+B46-B47</f>
        <v>0</v>
      </c>
      <c r="C48" s="31">
        <f t="shared" si="6"/>
        <v>0</v>
      </c>
      <c r="D48" s="31">
        <f t="shared" si="6"/>
        <v>0</v>
      </c>
      <c r="E48" s="31">
        <f t="shared" si="6"/>
        <v>0</v>
      </c>
      <c r="F48" s="31">
        <f t="shared" si="6"/>
        <v>0</v>
      </c>
      <c r="G48" s="31">
        <f t="shared" si="6"/>
        <v>0</v>
      </c>
      <c r="H48" s="31">
        <f t="shared" si="6"/>
        <v>0</v>
      </c>
      <c r="I48" s="31">
        <f t="shared" si="6"/>
        <v>0</v>
      </c>
      <c r="J48" s="31">
        <f t="shared" si="6"/>
        <v>0</v>
      </c>
      <c r="K48" s="31">
        <f t="shared" si="6"/>
        <v>0</v>
      </c>
      <c r="L48" s="31">
        <f t="shared" si="6"/>
        <v>0</v>
      </c>
      <c r="M48" s="31">
        <f t="shared" si="6"/>
        <v>0</v>
      </c>
    </row>
    <row r="49" spans="1:13" ht="16.5" customHeight="1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</row>
    <row r="50" spans="1:13" ht="16.5" customHeight="1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</row>
    <row r="51" spans="1:13" ht="16.5" customHeight="1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</row>
    <row r="52" spans="1:13" ht="16.5" customHeight="1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</row>
    <row r="53" spans="1:13" ht="16.5" customHeight="1" x14ac:dyDescent="0.25">
      <c r="A53" s="27"/>
      <c r="B53" s="26"/>
      <c r="C53" s="28"/>
      <c r="D53" s="28"/>
      <c r="E53" s="28"/>
      <c r="F53" s="26"/>
    </row>
    <row r="54" spans="1:13" ht="16.5" customHeight="1" x14ac:dyDescent="0.35">
      <c r="A54" s="29" t="s">
        <v>43</v>
      </c>
      <c r="C54" s="30" t="s">
        <v>44</v>
      </c>
      <c r="E54" s="30"/>
      <c r="H54" s="31"/>
    </row>
    <row r="55" spans="1:13" ht="16.5" customHeight="1" x14ac:dyDescent="0.35">
      <c r="A55" s="30" t="s">
        <v>45</v>
      </c>
      <c r="C55" s="30" t="s">
        <v>46</v>
      </c>
      <c r="E55" s="30"/>
    </row>
    <row r="56" spans="1:13" ht="16.5" customHeight="1" x14ac:dyDescent="0.25">
      <c r="F56" s="32"/>
    </row>
    <row r="57" spans="1:13" ht="16.5" customHeight="1" x14ac:dyDescent="0.25">
      <c r="F57" s="32"/>
      <c r="G57" s="26"/>
      <c r="H57" s="26"/>
    </row>
    <row r="58" spans="1:13" ht="16.5" customHeight="1" x14ac:dyDescent="0.25">
      <c r="F58" s="32"/>
      <c r="G58" s="26"/>
      <c r="H58" s="26"/>
    </row>
    <row r="59" spans="1:13" ht="16.5" customHeight="1" x14ac:dyDescent="0.25">
      <c r="F59" s="32"/>
      <c r="G59" s="26"/>
      <c r="H59" s="26"/>
    </row>
    <row r="60" spans="1:13" ht="16.5" customHeight="1" x14ac:dyDescent="0.25">
      <c r="F60" s="32"/>
      <c r="G60" s="26"/>
      <c r="H60" s="26"/>
    </row>
    <row r="61" spans="1:13" ht="16.5" customHeight="1" x14ac:dyDescent="0.25">
      <c r="F61" s="32"/>
      <c r="G61" s="26"/>
      <c r="H61" s="26"/>
    </row>
    <row r="62" spans="1:13" ht="16.5" customHeight="1" x14ac:dyDescent="0.25">
      <c r="F62" s="32"/>
      <c r="G62" s="26"/>
      <c r="H62" s="26"/>
    </row>
    <row r="63" spans="1:13" ht="16.5" customHeight="1" x14ac:dyDescent="0.25">
      <c r="F63" s="32"/>
      <c r="G63" s="26"/>
      <c r="H63" s="26"/>
    </row>
    <row r="64" spans="1:13" ht="16.5" customHeight="1" x14ac:dyDescent="0.25">
      <c r="F64" s="32"/>
      <c r="G64" s="26"/>
      <c r="H64" s="26"/>
    </row>
    <row r="65" spans="6:8" ht="16.5" customHeight="1" x14ac:dyDescent="0.25">
      <c r="F65" s="32"/>
      <c r="G65" s="26"/>
      <c r="H65" s="26"/>
    </row>
    <row r="66" spans="6:8" ht="16.5" customHeight="1" x14ac:dyDescent="0.25">
      <c r="F66" s="32"/>
    </row>
    <row r="67" spans="6:8" ht="16.5" customHeight="1" x14ac:dyDescent="0.25">
      <c r="F67" s="32"/>
    </row>
    <row r="68" spans="6:8" ht="16.5" customHeight="1" x14ac:dyDescent="0.25">
      <c r="F68" s="32"/>
    </row>
    <row r="69" spans="6:8" ht="16.5" customHeight="1" x14ac:dyDescent="0.25">
      <c r="F69" s="32"/>
    </row>
    <row r="70" spans="6:8" ht="16.5" customHeight="1" x14ac:dyDescent="0.25">
      <c r="F70" s="32"/>
    </row>
    <row r="71" spans="6:8" ht="16.5" customHeight="1" x14ac:dyDescent="0.25">
      <c r="F71" s="32"/>
    </row>
    <row r="72" spans="6:8" ht="16.5" customHeight="1" x14ac:dyDescent="0.25">
      <c r="F72" s="32"/>
    </row>
    <row r="73" spans="6:8" ht="16.5" customHeight="1" x14ac:dyDescent="0.25">
      <c r="F73" s="32"/>
    </row>
    <row r="74" spans="6:8" ht="16.5" customHeight="1" x14ac:dyDescent="0.25">
      <c r="F74" s="32"/>
    </row>
    <row r="75" spans="6:8" ht="16.5" customHeight="1" x14ac:dyDescent="0.25">
      <c r="F75" s="32"/>
    </row>
    <row r="76" spans="6:8" ht="16.5" customHeight="1" x14ac:dyDescent="0.25">
      <c r="F76" s="32"/>
    </row>
    <row r="77" spans="6:8" ht="16.5" customHeight="1" x14ac:dyDescent="0.25">
      <c r="F77" s="32"/>
    </row>
    <row r="78" spans="6:8" ht="16.5" customHeight="1" x14ac:dyDescent="0.25">
      <c r="F78" s="32"/>
    </row>
    <row r="79" spans="6:8" ht="16.5" customHeight="1" x14ac:dyDescent="0.25">
      <c r="F79" s="32"/>
    </row>
    <row r="80" spans="6:8" ht="16.5" customHeight="1" x14ac:dyDescent="0.25">
      <c r="F80" s="32"/>
    </row>
    <row r="81" spans="6:6" ht="16.5" customHeight="1" x14ac:dyDescent="0.25">
      <c r="F81" s="32"/>
    </row>
    <row r="82" spans="6:6" ht="16.5" customHeight="1" x14ac:dyDescent="0.25">
      <c r="F82" s="32"/>
    </row>
    <row r="83" spans="6:6" ht="16.5" customHeight="1" x14ac:dyDescent="0.25">
      <c r="F83" s="32"/>
    </row>
    <row r="84" spans="6:6" ht="16.5" customHeight="1" x14ac:dyDescent="0.25">
      <c r="F84" s="32"/>
    </row>
    <row r="85" spans="6:6" ht="16.5" customHeight="1" x14ac:dyDescent="0.25">
      <c r="F85" s="32"/>
    </row>
    <row r="86" spans="6:6" ht="16.5" customHeight="1" x14ac:dyDescent="0.25">
      <c r="F86" s="32"/>
    </row>
    <row r="87" spans="6:6" ht="16.5" customHeight="1" x14ac:dyDescent="0.25">
      <c r="F87" s="32"/>
    </row>
    <row r="88" spans="6:6" ht="16.5" customHeight="1" x14ac:dyDescent="0.25">
      <c r="F88" s="32"/>
    </row>
  </sheetData>
  <mergeCells count="1">
    <mergeCell ref="B1:N1"/>
  </mergeCells>
  <printOptions horizontalCentered="1"/>
  <pageMargins left="0.15763888888888899" right="0.27569444444444402" top="0.35416666666666702" bottom="0.35416666666666702" header="0.511811023622047" footer="0.511811023622047"/>
  <pageSetup paperSize="9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MB92"/>
  <sheetViews>
    <sheetView showGridLines="0" tabSelected="1" topLeftCell="A2" zoomScale="90" zoomScaleNormal="90" workbookViewId="0">
      <pane xSplit="1" topLeftCell="B1" activePane="topRight" state="frozen"/>
      <selection pane="topRight" activeCell="C12" sqref="C12"/>
    </sheetView>
  </sheetViews>
  <sheetFormatPr defaultColWidth="9.1796875" defaultRowHeight="12.5" x14ac:dyDescent="0.25"/>
  <cols>
    <col min="1" max="1" width="72.81640625" style="1" customWidth="1"/>
    <col min="2" max="4" width="17.26953125" style="1" customWidth="1"/>
    <col min="5" max="5" width="19.54296875" style="1" customWidth="1"/>
    <col min="6" max="6" width="20.6328125" style="1" customWidth="1"/>
    <col min="7" max="7" width="9.1796875" style="1"/>
    <col min="8" max="8" width="17.1796875" style="1" customWidth="1"/>
    <col min="9" max="1016" width="9.1796875" style="1"/>
  </cols>
  <sheetData>
    <row r="1" spans="1:8" ht="67.5" customHeight="1" x14ac:dyDescent="0.25">
      <c r="B1" s="49"/>
      <c r="C1" s="49"/>
      <c r="D1" s="49"/>
      <c r="E1" s="49"/>
      <c r="F1" s="49"/>
    </row>
    <row r="2" spans="1:8" ht="67.5" customHeight="1" x14ac:dyDescent="0.25"/>
    <row r="3" spans="1:8" ht="26.5" customHeight="1" x14ac:dyDescent="0.25">
      <c r="B3" s="2">
        <v>45413</v>
      </c>
      <c r="C3" s="2">
        <v>45444</v>
      </c>
      <c r="D3" s="2">
        <v>45474</v>
      </c>
      <c r="E3" s="2">
        <v>45505</v>
      </c>
      <c r="F3" s="2" t="s">
        <v>47</v>
      </c>
    </row>
    <row r="4" spans="1:8" ht="16.5" customHeight="1" x14ac:dyDescent="0.35">
      <c r="A4" s="4" t="s">
        <v>2</v>
      </c>
      <c r="B4" s="5">
        <v>12264246.479999999</v>
      </c>
      <c r="C4" s="5">
        <v>12275292.449999997</v>
      </c>
      <c r="D4" s="5">
        <v>11805109.529999997</v>
      </c>
      <c r="E4" s="5">
        <v>11361988.979999997</v>
      </c>
      <c r="F4" s="5">
        <v>12264246.479999999</v>
      </c>
      <c r="H4" s="47"/>
    </row>
    <row r="5" spans="1:8" ht="16.5" customHeight="1" x14ac:dyDescent="0.35">
      <c r="B5" s="6"/>
      <c r="C5" s="6"/>
      <c r="D5" s="6"/>
      <c r="E5" s="6"/>
      <c r="F5" s="6"/>
    </row>
    <row r="6" spans="1:8" ht="16.5" customHeight="1" x14ac:dyDescent="0.25">
      <c r="A6" s="18" t="s">
        <v>59</v>
      </c>
    </row>
    <row r="7" spans="1:8" s="11" customFormat="1" ht="16.5" customHeight="1" x14ac:dyDescent="0.35">
      <c r="A7" s="9" t="s">
        <v>5</v>
      </c>
      <c r="B7" s="10">
        <v>3155387.21</v>
      </c>
      <c r="C7" s="10">
        <v>3067973.27</v>
      </c>
      <c r="D7" s="10">
        <v>3061339.58</v>
      </c>
      <c r="E7" s="10">
        <v>3566473.13</v>
      </c>
      <c r="F7" s="10">
        <v>12851173.190000001</v>
      </c>
      <c r="H7" s="41"/>
    </row>
    <row r="8" spans="1:8" s="14" customFormat="1" ht="16.5" customHeight="1" x14ac:dyDescent="0.35">
      <c r="A8" s="12" t="s">
        <v>6</v>
      </c>
      <c r="B8" s="13">
        <v>2962227</v>
      </c>
      <c r="C8" s="13">
        <v>2962227</v>
      </c>
      <c r="D8" s="13">
        <v>2962227</v>
      </c>
      <c r="E8" s="13">
        <v>2962227</v>
      </c>
      <c r="F8" s="10">
        <v>11848908</v>
      </c>
      <c r="H8" s="37"/>
    </row>
    <row r="9" spans="1:8" s="14" customFormat="1" ht="16.5" customHeight="1" x14ac:dyDescent="0.35">
      <c r="A9" s="12" t="s">
        <v>51</v>
      </c>
      <c r="B9" s="13">
        <v>87710.35</v>
      </c>
      <c r="C9" s="13">
        <v>83114.8</v>
      </c>
      <c r="D9" s="13">
        <v>89964.08</v>
      </c>
      <c r="E9" s="13">
        <v>86903.63</v>
      </c>
      <c r="F9" s="10">
        <v>347692.86000000004</v>
      </c>
      <c r="H9" s="37"/>
    </row>
    <row r="10" spans="1:8" s="14" customFormat="1" ht="16.5" customHeight="1" x14ac:dyDescent="0.35">
      <c r="A10" s="12" t="s">
        <v>67</v>
      </c>
      <c r="B10" s="13">
        <v>5449.86</v>
      </c>
      <c r="C10" s="13">
        <v>22631.47</v>
      </c>
      <c r="D10" s="13">
        <v>9148.5</v>
      </c>
      <c r="E10" s="13">
        <v>17342.5</v>
      </c>
      <c r="F10" s="10">
        <v>54572.33</v>
      </c>
      <c r="H10" s="37"/>
    </row>
    <row r="11" spans="1:8" s="14" customFormat="1" ht="16.5" customHeight="1" x14ac:dyDescent="0.35">
      <c r="A11" s="12" t="s">
        <v>68</v>
      </c>
      <c r="B11" s="13">
        <v>100000</v>
      </c>
      <c r="C11" s="13">
        <v>0</v>
      </c>
      <c r="D11" s="13"/>
      <c r="E11" s="13">
        <v>500000</v>
      </c>
      <c r="F11" s="10">
        <v>600000</v>
      </c>
      <c r="H11" s="37"/>
    </row>
    <row r="12" spans="1:8" ht="16.5" customHeight="1" x14ac:dyDescent="0.25">
      <c r="A12" s="12" t="s">
        <v>69</v>
      </c>
      <c r="B12" s="13">
        <v>0</v>
      </c>
      <c r="C12" s="13">
        <v>0</v>
      </c>
      <c r="D12" s="13"/>
      <c r="E12" s="13">
        <v>0</v>
      </c>
      <c r="F12" s="10">
        <v>0</v>
      </c>
      <c r="H12" s="42"/>
    </row>
    <row r="13" spans="1:8" ht="16.5" customHeight="1" x14ac:dyDescent="0.25">
      <c r="A13" s="16"/>
      <c r="B13" s="17"/>
      <c r="C13" s="17"/>
      <c r="D13" s="17"/>
      <c r="E13" s="17"/>
      <c r="F13" s="17"/>
      <c r="H13" s="42"/>
    </row>
    <row r="14" spans="1:8" ht="16.5" customHeight="1" x14ac:dyDescent="0.25">
      <c r="A14" s="18" t="s">
        <v>10</v>
      </c>
      <c r="H14" s="42"/>
    </row>
    <row r="15" spans="1:8" s="11" customFormat="1" ht="16.5" customHeight="1" x14ac:dyDescent="0.35">
      <c r="A15" s="9" t="s">
        <v>11</v>
      </c>
      <c r="B15" s="19">
        <v>3078067.48</v>
      </c>
      <c r="C15" s="19">
        <v>3505595.4799999995</v>
      </c>
      <c r="D15" s="19">
        <v>3381687.4899999998</v>
      </c>
      <c r="E15" s="19">
        <v>3550129.7299999995</v>
      </c>
      <c r="F15" s="19">
        <v>13515480.18</v>
      </c>
      <c r="H15" s="41"/>
    </row>
    <row r="16" spans="1:8" s="14" customFormat="1" ht="16.5" customHeight="1" x14ac:dyDescent="0.35">
      <c r="A16" s="15" t="s">
        <v>12</v>
      </c>
      <c r="B16" s="13">
        <v>2298794.71</v>
      </c>
      <c r="C16" s="13">
        <v>2310924.92</v>
      </c>
      <c r="D16" s="13">
        <v>2483911.9499999997</v>
      </c>
      <c r="E16" s="13">
        <v>2319988.4</v>
      </c>
      <c r="F16" s="19">
        <v>9413619.9800000004</v>
      </c>
    </row>
    <row r="17" spans="1:8" s="14" customFormat="1" ht="16.5" customHeight="1" x14ac:dyDescent="0.35">
      <c r="A17" s="12" t="s">
        <v>13</v>
      </c>
      <c r="B17" s="13">
        <v>340513.97</v>
      </c>
      <c r="C17" s="13">
        <v>567853.94999999995</v>
      </c>
      <c r="D17" s="13">
        <v>408691.07</v>
      </c>
      <c r="E17" s="13">
        <v>557273.74</v>
      </c>
      <c r="F17" s="19">
        <v>1874332.73</v>
      </c>
      <c r="H17" s="37"/>
    </row>
    <row r="18" spans="1:8" s="14" customFormat="1" ht="16.5" customHeight="1" x14ac:dyDescent="0.35">
      <c r="A18" s="12" t="s">
        <v>14</v>
      </c>
      <c r="B18" s="13">
        <v>35156.39</v>
      </c>
      <c r="C18" s="13">
        <v>8307.9800000000032</v>
      </c>
      <c r="D18" s="13">
        <v>52275.85</v>
      </c>
      <c r="E18" s="13">
        <v>133785.95000000001</v>
      </c>
      <c r="F18" s="19">
        <v>229526.17</v>
      </c>
      <c r="H18" s="37"/>
    </row>
    <row r="19" spans="1:8" s="14" customFormat="1" ht="16.5" customHeight="1" x14ac:dyDescent="0.35">
      <c r="A19" s="15" t="s">
        <v>15</v>
      </c>
      <c r="B19" s="13"/>
      <c r="C19" s="13"/>
      <c r="D19" s="13"/>
      <c r="E19" s="13">
        <v>0</v>
      </c>
      <c r="F19" s="19">
        <v>0</v>
      </c>
      <c r="H19" s="37"/>
    </row>
    <row r="20" spans="1:8" s="14" customFormat="1" ht="16" customHeight="1" x14ac:dyDescent="0.35">
      <c r="A20" s="15" t="s">
        <v>16</v>
      </c>
      <c r="B20" s="13">
        <v>56472.520000000004</v>
      </c>
      <c r="C20" s="13">
        <v>298464.49</v>
      </c>
      <c r="D20" s="13">
        <v>93774.569999999992</v>
      </c>
      <c r="E20" s="13">
        <v>118901.43</v>
      </c>
      <c r="F20" s="19">
        <v>567613.01</v>
      </c>
    </row>
    <row r="21" spans="1:8" s="14" customFormat="1" ht="16.5" customHeight="1" x14ac:dyDescent="0.35">
      <c r="A21" s="12" t="s">
        <v>17</v>
      </c>
      <c r="B21" s="13">
        <v>18213.77</v>
      </c>
      <c r="C21" s="13">
        <v>14583.48</v>
      </c>
      <c r="D21" s="13">
        <v>15135.87</v>
      </c>
      <c r="E21" s="13">
        <v>10992.9</v>
      </c>
      <c r="F21" s="19">
        <v>58926.020000000004</v>
      </c>
      <c r="H21" s="37"/>
    </row>
    <row r="22" spans="1:8" s="14" customFormat="1" ht="16.5" customHeight="1" x14ac:dyDescent="0.35">
      <c r="A22" s="15" t="s">
        <v>18</v>
      </c>
      <c r="B22" s="13">
        <v>40662.379999999997</v>
      </c>
      <c r="C22" s="13">
        <v>39645.910000000003</v>
      </c>
      <c r="D22" s="13">
        <v>36977.96</v>
      </c>
      <c r="E22" s="13">
        <v>31707.97</v>
      </c>
      <c r="F22" s="19">
        <v>148994.22</v>
      </c>
      <c r="H22" s="37"/>
    </row>
    <row r="23" spans="1:8" s="14" customFormat="1" ht="16.5" customHeight="1" x14ac:dyDescent="0.35">
      <c r="A23" s="12" t="s">
        <v>70</v>
      </c>
      <c r="B23" s="13">
        <v>16934.190000000002</v>
      </c>
      <c r="C23" s="13">
        <v>10762.58</v>
      </c>
      <c r="D23" s="13">
        <v>13040.94</v>
      </c>
      <c r="E23" s="13">
        <v>13316.27</v>
      </c>
      <c r="F23" s="19">
        <v>54053.98000000001</v>
      </c>
      <c r="H23" s="37"/>
    </row>
    <row r="24" spans="1:8" s="14" customFormat="1" ht="16.5" customHeight="1" x14ac:dyDescent="0.35">
      <c r="A24" s="12" t="s">
        <v>71</v>
      </c>
      <c r="B24" s="13">
        <v>0</v>
      </c>
      <c r="C24" s="13">
        <v>1390</v>
      </c>
      <c r="D24" s="13">
        <v>511</v>
      </c>
      <c r="E24" s="13">
        <v>511</v>
      </c>
      <c r="F24" s="19">
        <v>2412</v>
      </c>
    </row>
    <row r="25" spans="1:8" s="14" customFormat="1" ht="16.5" customHeight="1" x14ac:dyDescent="0.35">
      <c r="A25" s="15" t="s">
        <v>20</v>
      </c>
      <c r="B25" s="13"/>
      <c r="C25" s="13"/>
      <c r="D25" s="13"/>
      <c r="E25" s="13">
        <v>0</v>
      </c>
      <c r="F25" s="19">
        <v>0</v>
      </c>
    </row>
    <row r="26" spans="1:8" s="14" customFormat="1" ht="16.5" customHeight="1" x14ac:dyDescent="0.35">
      <c r="A26" s="15" t="s">
        <v>21</v>
      </c>
      <c r="B26" s="13">
        <v>208330</v>
      </c>
      <c r="C26" s="13">
        <v>209950</v>
      </c>
      <c r="D26" s="13">
        <v>216050</v>
      </c>
      <c r="E26" s="13">
        <v>213990</v>
      </c>
      <c r="F26" s="19">
        <v>848320</v>
      </c>
    </row>
    <row r="27" spans="1:8" s="14" customFormat="1" ht="16.5" customHeight="1" x14ac:dyDescent="0.35">
      <c r="A27" s="15" t="s">
        <v>22</v>
      </c>
      <c r="B27" s="13"/>
      <c r="C27" s="13"/>
      <c r="D27" s="13"/>
      <c r="E27" s="13">
        <v>0</v>
      </c>
      <c r="F27" s="19">
        <v>0</v>
      </c>
    </row>
    <row r="28" spans="1:8" s="14" customFormat="1" ht="16.5" customHeight="1" x14ac:dyDescent="0.35">
      <c r="A28" s="15" t="s">
        <v>23</v>
      </c>
      <c r="B28" s="13">
        <v>15578.41</v>
      </c>
      <c r="C28" s="13">
        <v>1209.1300000000001</v>
      </c>
      <c r="D28" s="13">
        <v>11017.47</v>
      </c>
      <c r="E28" s="13">
        <v>92.21</v>
      </c>
      <c r="F28" s="19">
        <v>27897.22</v>
      </c>
    </row>
    <row r="29" spans="1:8" s="14" customFormat="1" ht="16.5" customHeight="1" x14ac:dyDescent="0.35">
      <c r="A29" s="15" t="s">
        <v>24</v>
      </c>
      <c r="B29" s="13">
        <v>294.89999999999998</v>
      </c>
      <c r="C29" s="13">
        <v>0</v>
      </c>
      <c r="D29" s="13">
        <v>69.930000000000007</v>
      </c>
      <c r="E29" s="13">
        <v>24.78</v>
      </c>
      <c r="F29" s="19">
        <v>389.61</v>
      </c>
    </row>
    <row r="30" spans="1:8" s="14" customFormat="1" ht="16.5" customHeight="1" x14ac:dyDescent="0.35">
      <c r="A30" s="12" t="s">
        <v>25</v>
      </c>
      <c r="B30" s="13">
        <v>280.94</v>
      </c>
      <c r="C30" s="13">
        <v>280.94</v>
      </c>
      <c r="D30" s="13">
        <v>280.94</v>
      </c>
      <c r="E30" s="13">
        <v>280.94</v>
      </c>
      <c r="F30" s="19">
        <v>1123.76</v>
      </c>
    </row>
    <row r="31" spans="1:8" s="14" customFormat="1" ht="16.5" customHeight="1" x14ac:dyDescent="0.35">
      <c r="A31" s="15" t="s">
        <v>26</v>
      </c>
      <c r="B31" s="13">
        <v>36146.99</v>
      </c>
      <c r="C31" s="13">
        <v>31893.25</v>
      </c>
      <c r="D31" s="13">
        <v>39309.49</v>
      </c>
      <c r="E31" s="13">
        <v>136307.31</v>
      </c>
      <c r="F31" s="19">
        <v>243657.03999999998</v>
      </c>
    </row>
    <row r="32" spans="1:8" s="14" customFormat="1" ht="16.5" customHeight="1" x14ac:dyDescent="0.35">
      <c r="A32" s="15" t="s">
        <v>27</v>
      </c>
      <c r="B32" s="13">
        <v>9567.94</v>
      </c>
      <c r="C32" s="13">
        <v>9050.34</v>
      </c>
      <c r="D32" s="13">
        <v>9684.65</v>
      </c>
      <c r="E32" s="13">
        <v>12046.76</v>
      </c>
      <c r="F32" s="19">
        <v>40349.69</v>
      </c>
    </row>
    <row r="33" spans="1:6" s="14" customFormat="1" ht="16.5" customHeight="1" x14ac:dyDescent="0.35">
      <c r="A33" s="15" t="s">
        <v>28</v>
      </c>
      <c r="B33" s="13">
        <v>1120.3699999999999</v>
      </c>
      <c r="C33" s="13">
        <v>1278.5100000000002</v>
      </c>
      <c r="D33" s="13">
        <v>955.8</v>
      </c>
      <c r="E33" s="13">
        <v>910.06999999999994</v>
      </c>
      <c r="F33" s="19">
        <v>4264.75</v>
      </c>
    </row>
    <row r="34" spans="1:6" s="14" customFormat="1" ht="16.5" customHeight="1" x14ac:dyDescent="0.35">
      <c r="A34" s="12" t="s">
        <v>72</v>
      </c>
      <c r="B34" s="13"/>
      <c r="C34" s="13"/>
      <c r="D34" s="13"/>
      <c r="E34" s="13">
        <v>0</v>
      </c>
      <c r="F34" s="19">
        <v>0</v>
      </c>
    </row>
    <row r="35" spans="1:6" s="14" customFormat="1" ht="16.5" customHeight="1" x14ac:dyDescent="0.35">
      <c r="A35" s="12" t="s">
        <v>30</v>
      </c>
      <c r="B35" s="13"/>
      <c r="C35" s="13"/>
      <c r="D35" s="13"/>
      <c r="E35" s="13">
        <v>0</v>
      </c>
      <c r="F35" s="19">
        <v>0</v>
      </c>
    </row>
    <row r="36" spans="1:6" ht="16.5" customHeight="1" x14ac:dyDescent="0.25">
      <c r="B36" s="21"/>
    </row>
    <row r="37" spans="1:6" ht="16.5" customHeight="1" x14ac:dyDescent="0.25">
      <c r="A37" s="18" t="s">
        <v>31</v>
      </c>
    </row>
    <row r="38" spans="1:6" s="11" customFormat="1" ht="16.5" customHeight="1" x14ac:dyDescent="0.35">
      <c r="A38" s="9" t="s">
        <v>32</v>
      </c>
      <c r="B38" s="10">
        <v>66273.759999999995</v>
      </c>
      <c r="C38" s="10">
        <v>32560.71</v>
      </c>
      <c r="D38" s="10">
        <v>122772.64</v>
      </c>
      <c r="E38" s="10">
        <v>40200.54</v>
      </c>
      <c r="F38" s="10">
        <v>261807.65</v>
      </c>
    </row>
    <row r="39" spans="1:6" s="14" customFormat="1" ht="16.5" customHeight="1" x14ac:dyDescent="0.35">
      <c r="A39" s="15" t="s">
        <v>33</v>
      </c>
      <c r="B39" s="13">
        <v>42299.199999999997</v>
      </c>
      <c r="C39" s="13">
        <v>4163.3099999999995</v>
      </c>
      <c r="D39" s="13"/>
      <c r="E39" s="13">
        <v>548</v>
      </c>
      <c r="F39" s="10">
        <v>47010.509999999995</v>
      </c>
    </row>
    <row r="40" spans="1:6" s="14" customFormat="1" ht="16.5" customHeight="1" x14ac:dyDescent="0.35">
      <c r="A40" s="15" t="s">
        <v>34</v>
      </c>
      <c r="B40" s="13"/>
      <c r="C40" s="13"/>
      <c r="D40" s="13"/>
      <c r="E40" s="13"/>
      <c r="F40" s="10">
        <v>0</v>
      </c>
    </row>
    <row r="41" spans="1:6" s="14" customFormat="1" ht="16.5" customHeight="1" x14ac:dyDescent="0.35">
      <c r="A41" s="15" t="s">
        <v>35</v>
      </c>
      <c r="B41" s="13">
        <v>7200</v>
      </c>
      <c r="C41" s="13">
        <v>26907.4</v>
      </c>
      <c r="D41" s="13">
        <v>115352.64</v>
      </c>
      <c r="E41" s="13">
        <v>1764</v>
      </c>
      <c r="F41" s="10">
        <v>151224.04</v>
      </c>
    </row>
    <row r="42" spans="1:6" s="14" customFormat="1" ht="16.5" customHeight="1" x14ac:dyDescent="0.35">
      <c r="A42" s="15" t="s">
        <v>36</v>
      </c>
      <c r="B42" s="13"/>
      <c r="C42" s="13"/>
      <c r="D42" s="13"/>
      <c r="E42" s="13"/>
      <c r="F42" s="10">
        <v>0</v>
      </c>
    </row>
    <row r="43" spans="1:6" s="14" customFormat="1" ht="16.5" customHeight="1" x14ac:dyDescent="0.35">
      <c r="A43" s="15" t="s">
        <v>37</v>
      </c>
      <c r="B43" s="13"/>
      <c r="C43" s="13"/>
      <c r="D43" s="13"/>
      <c r="E43" s="13"/>
      <c r="F43" s="10">
        <v>0</v>
      </c>
    </row>
    <row r="44" spans="1:6" s="14" customFormat="1" ht="16.5" customHeight="1" x14ac:dyDescent="0.35">
      <c r="A44" s="15" t="s">
        <v>38</v>
      </c>
      <c r="B44" s="13">
        <v>16024.56</v>
      </c>
      <c r="C44" s="13"/>
      <c r="D44" s="13">
        <v>4390</v>
      </c>
      <c r="E44" s="13"/>
      <c r="F44" s="10">
        <v>20414.559999999998</v>
      </c>
    </row>
    <row r="45" spans="1:6" s="14" customFormat="1" ht="16.5" customHeight="1" x14ac:dyDescent="0.35">
      <c r="A45" s="15" t="s">
        <v>39</v>
      </c>
      <c r="B45" s="13"/>
      <c r="C45" s="13"/>
      <c r="D45" s="13"/>
      <c r="E45" s="13"/>
      <c r="F45" s="10">
        <v>0</v>
      </c>
    </row>
    <row r="46" spans="1:6" s="14" customFormat="1" ht="16.5" customHeight="1" x14ac:dyDescent="0.35">
      <c r="A46" s="15" t="s">
        <v>40</v>
      </c>
      <c r="B46" s="13">
        <v>750</v>
      </c>
      <c r="C46" s="13">
        <v>1490</v>
      </c>
      <c r="D46" s="13">
        <v>3030</v>
      </c>
      <c r="E46" s="13">
        <v>37888.54</v>
      </c>
      <c r="F46" s="10">
        <v>43158.54</v>
      </c>
    </row>
    <row r="47" spans="1:6" s="14" customFormat="1" ht="16.5" customHeight="1" x14ac:dyDescent="0.35">
      <c r="A47" s="15" t="s">
        <v>65</v>
      </c>
      <c r="B47" s="13"/>
      <c r="C47" s="13"/>
      <c r="D47" s="13"/>
      <c r="E47" s="13"/>
      <c r="F47" s="10">
        <v>0</v>
      </c>
    </row>
    <row r="48" spans="1:6" s="14" customFormat="1" ht="16.5" customHeight="1" x14ac:dyDescent="0.35">
      <c r="A48" s="15" t="s">
        <v>73</v>
      </c>
      <c r="B48" s="13"/>
      <c r="C48" s="13"/>
      <c r="D48" s="13"/>
      <c r="E48" s="13"/>
      <c r="F48" s="10">
        <v>0</v>
      </c>
    </row>
    <row r="49" spans="1:8" ht="16.5" customHeight="1" x14ac:dyDescent="0.25"/>
    <row r="50" spans="1:8" s="24" customFormat="1" ht="16.5" customHeight="1" x14ac:dyDescent="0.25">
      <c r="A50" s="22" t="s">
        <v>42</v>
      </c>
      <c r="B50" s="23">
        <v>12275292.449999999</v>
      </c>
      <c r="C50" s="23">
        <v>11805109.529999997</v>
      </c>
      <c r="D50" s="23">
        <v>11361988.979999997</v>
      </c>
      <c r="E50" s="23">
        <v>11338131.839999996</v>
      </c>
      <c r="F50" s="23">
        <v>11338131.840000002</v>
      </c>
      <c r="H50" s="48"/>
    </row>
    <row r="51" spans="1:8" ht="16.5" customHeight="1" x14ac:dyDescent="0.25">
      <c r="B51" s="26"/>
      <c r="C51" s="39"/>
      <c r="D51" s="26"/>
      <c r="E51" s="39"/>
      <c r="F51" s="26"/>
    </row>
    <row r="52" spans="1:8" ht="16.5" customHeight="1" x14ac:dyDescent="0.3">
      <c r="B52" s="40"/>
      <c r="C52" s="40"/>
      <c r="D52" s="40"/>
      <c r="E52" s="40"/>
      <c r="F52" s="40"/>
    </row>
    <row r="53" spans="1:8" ht="16.5" customHeight="1" x14ac:dyDescent="0.25">
      <c r="B53" s="31"/>
    </row>
    <row r="54" spans="1:8" ht="16.5" customHeight="1" x14ac:dyDescent="0.25">
      <c r="B54" s="31"/>
      <c r="E54" s="43"/>
    </row>
    <row r="55" spans="1:8" ht="16.5" customHeight="1" x14ac:dyDescent="0.25">
      <c r="B55" s="31"/>
      <c r="D55" s="39"/>
      <c r="E55" s="43"/>
    </row>
    <row r="56" spans="1:8" ht="16.5" customHeight="1" x14ac:dyDescent="0.25">
      <c r="B56" s="31"/>
      <c r="E56" s="43"/>
    </row>
    <row r="57" spans="1:8" ht="16.5" customHeight="1" x14ac:dyDescent="0.25">
      <c r="A57" s="27"/>
      <c r="B57" s="26"/>
      <c r="D57" s="46"/>
      <c r="E57" s="46"/>
      <c r="F57" s="46"/>
    </row>
    <row r="58" spans="1:8" ht="16.5" customHeight="1" x14ac:dyDescent="0.35">
      <c r="A58" s="30" t="s">
        <v>74</v>
      </c>
      <c r="D58" s="45" t="s">
        <v>76</v>
      </c>
      <c r="E58" s="44"/>
      <c r="F58" s="45"/>
    </row>
    <row r="59" spans="1:8" ht="16.5" customHeight="1" x14ac:dyDescent="0.35">
      <c r="A59" s="30" t="s">
        <v>75</v>
      </c>
      <c r="D59" s="45" t="s">
        <v>77</v>
      </c>
      <c r="E59" s="44"/>
      <c r="F59" s="45"/>
    </row>
    <row r="60" spans="1:8" ht="16.5" customHeight="1" x14ac:dyDescent="0.25">
      <c r="B60" s="32"/>
    </row>
    <row r="61" spans="1:8" ht="16.5" customHeight="1" x14ac:dyDescent="0.25">
      <c r="B61" s="32"/>
    </row>
    <row r="62" spans="1:8" ht="16.5" customHeight="1" x14ac:dyDescent="0.25">
      <c r="B62" s="32"/>
    </row>
    <row r="63" spans="1:8" ht="16.5" customHeight="1" x14ac:dyDescent="0.25">
      <c r="B63" s="32"/>
    </row>
    <row r="64" spans="1:8" ht="16.5" customHeight="1" x14ac:dyDescent="0.25">
      <c r="B64" s="32"/>
    </row>
    <row r="65" spans="2:2" ht="16.5" customHeight="1" x14ac:dyDescent="0.25">
      <c r="B65" s="32"/>
    </row>
    <row r="66" spans="2:2" ht="16.5" customHeight="1" x14ac:dyDescent="0.25">
      <c r="B66" s="32"/>
    </row>
    <row r="67" spans="2:2" ht="16.5" customHeight="1" x14ac:dyDescent="0.25">
      <c r="B67" s="32"/>
    </row>
    <row r="68" spans="2:2" ht="16.5" customHeight="1" x14ac:dyDescent="0.25">
      <c r="B68" s="32"/>
    </row>
    <row r="69" spans="2:2" ht="16.5" customHeight="1" x14ac:dyDescent="0.25">
      <c r="B69" s="32"/>
    </row>
    <row r="70" spans="2:2" ht="16.5" customHeight="1" x14ac:dyDescent="0.25">
      <c r="B70" s="32"/>
    </row>
    <row r="71" spans="2:2" ht="16.5" customHeight="1" x14ac:dyDescent="0.25">
      <c r="B71" s="32"/>
    </row>
    <row r="72" spans="2:2" ht="16.5" customHeight="1" x14ac:dyDescent="0.25">
      <c r="B72" s="32"/>
    </row>
    <row r="73" spans="2:2" ht="16.5" customHeight="1" x14ac:dyDescent="0.25">
      <c r="B73" s="32"/>
    </row>
    <row r="74" spans="2:2" ht="16.5" customHeight="1" x14ac:dyDescent="0.25">
      <c r="B74" s="32"/>
    </row>
    <row r="75" spans="2:2" ht="16.5" customHeight="1" x14ac:dyDescent="0.25">
      <c r="B75" s="32"/>
    </row>
    <row r="76" spans="2:2" ht="16.5" customHeight="1" x14ac:dyDescent="0.25">
      <c r="B76" s="32"/>
    </row>
    <row r="77" spans="2:2" ht="16.5" customHeight="1" x14ac:dyDescent="0.25">
      <c r="B77" s="32"/>
    </row>
    <row r="78" spans="2:2" ht="16.5" customHeight="1" x14ac:dyDescent="0.25">
      <c r="B78" s="32"/>
    </row>
    <row r="79" spans="2:2" ht="16.5" customHeight="1" x14ac:dyDescent="0.25">
      <c r="B79" s="32"/>
    </row>
    <row r="80" spans="2:2" ht="16.5" customHeight="1" x14ac:dyDescent="0.25">
      <c r="B80" s="32"/>
    </row>
    <row r="81" spans="2:2" ht="16.5" customHeight="1" x14ac:dyDescent="0.25">
      <c r="B81" s="32"/>
    </row>
    <row r="82" spans="2:2" ht="16.5" customHeight="1" x14ac:dyDescent="0.25">
      <c r="B82" s="32"/>
    </row>
    <row r="83" spans="2:2" ht="16.5" customHeight="1" x14ac:dyDescent="0.25">
      <c r="B83" s="32"/>
    </row>
    <row r="84" spans="2:2" ht="16.5" customHeight="1" x14ac:dyDescent="0.25">
      <c r="B84" s="32"/>
    </row>
    <row r="85" spans="2:2" ht="16.5" customHeight="1" x14ac:dyDescent="0.25">
      <c r="B85" s="32"/>
    </row>
    <row r="86" spans="2:2" ht="16.5" customHeight="1" x14ac:dyDescent="0.25">
      <c r="B86" s="32"/>
    </row>
    <row r="87" spans="2:2" ht="16.5" customHeight="1" x14ac:dyDescent="0.25">
      <c r="B87" s="32"/>
    </row>
    <row r="88" spans="2:2" ht="16.5" customHeight="1" x14ac:dyDescent="0.25">
      <c r="B88" s="32"/>
    </row>
    <row r="89" spans="2:2" ht="16.5" customHeight="1" x14ac:dyDescent="0.25">
      <c r="B89" s="32"/>
    </row>
    <row r="90" spans="2:2" ht="16.5" customHeight="1" x14ac:dyDescent="0.25">
      <c r="B90" s="32"/>
    </row>
    <row r="91" spans="2:2" ht="16.5" customHeight="1" x14ac:dyDescent="0.25">
      <c r="B91" s="32"/>
    </row>
    <row r="92" spans="2:2" ht="16.5" customHeight="1" x14ac:dyDescent="0.25">
      <c r="B92" s="32"/>
    </row>
  </sheetData>
  <mergeCells count="1">
    <mergeCell ref="B1:F1"/>
  </mergeCells>
  <printOptions horizontalCentered="1"/>
  <pageMargins left="0.15763888888888899" right="0.27569444444444402" top="0.35416666666666702" bottom="0.35416666666666702" header="0.511811023622047" footer="0.511811023622047"/>
  <pageSetup paperSize="9" scale="5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Quadrimestral Guri</vt:lpstr>
      <vt:lpstr>Fluxo Caixa - Guri</vt:lpstr>
      <vt:lpstr>Quadrimestral Consolidado</vt:lpstr>
      <vt:lpstr>Fluxo Caixa - Consolidado</vt:lpstr>
      <vt:lpstr>Quadrimestral TATUÍ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Batista Santana</dc:creator>
  <dc:description/>
  <cp:lastModifiedBy>José  Renato Gonçalves</cp:lastModifiedBy>
  <cp:revision>1</cp:revision>
  <cp:lastPrinted>2024-09-17T18:34:17Z</cp:lastPrinted>
  <dcterms:created xsi:type="dcterms:W3CDTF">2007-01-17T15:15:17Z</dcterms:created>
  <dcterms:modified xsi:type="dcterms:W3CDTF">2024-09-23T14:31:01Z</dcterms:modified>
  <dc:language>pt-BR</dc:language>
</cp:coreProperties>
</file>